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ond\OneDrive\Desktop\Case Studies\Case Study B Taqwa Collective\"/>
    </mc:Choice>
  </mc:AlternateContent>
  <xr:revisionPtr revIDLastSave="0" documentId="8_{D08AE348-7B69-4F85-BBE9-C1E519F7FE9C}" xr6:coauthVersionLast="47" xr6:coauthVersionMax="47" xr10:uidLastSave="{00000000-0000-0000-0000-000000000000}"/>
  <bookViews>
    <workbookView xWindow="-120" yWindow="-120" windowWidth="29040" windowHeight="15720" activeTab="2" xr2:uid="{8FC3364E-F9B0-4DD7-95F3-2202190EB8A9}"/>
  </bookViews>
  <sheets>
    <sheet name="Welcome" sheetId="1" r:id="rId1"/>
    <sheet name="Benefactor Summary" sheetId="6" r:id="rId2"/>
    <sheet name="Summary" sheetId="5" r:id="rId3"/>
    <sheet name="Past Performance" sheetId="2" r:id="rId4"/>
    <sheet name="Future Report" sheetId="3" r:id="rId5"/>
    <sheet name="Investment Report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" l="1"/>
  <c r="K11" i="2"/>
  <c r="M11" i="2"/>
  <c r="M3" i="2"/>
  <c r="M4" i="2" s="1"/>
  <c r="M5" i="2" s="1"/>
  <c r="M6" i="2" s="1"/>
  <c r="D3" i="2"/>
  <c r="D4" i="2" s="1"/>
  <c r="D5" i="2" s="1"/>
  <c r="D6" i="2" s="1"/>
  <c r="B3" i="2"/>
  <c r="B4" i="2" s="1"/>
  <c r="E2" i="2"/>
  <c r="G2" i="2" s="1"/>
  <c r="C2" i="2"/>
  <c r="E4" i="6"/>
  <c r="C3" i="6"/>
  <c r="C4" i="6"/>
  <c r="C5" i="6"/>
  <c r="C6" i="6"/>
  <c r="C7" i="6"/>
  <c r="C8" i="6"/>
  <c r="C2" i="6"/>
  <c r="D8" i="6"/>
  <c r="D7" i="6"/>
  <c r="D6" i="6"/>
  <c r="D5" i="6"/>
  <c r="D4" i="6"/>
  <c r="D3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9" i="6"/>
  <c r="E8" i="6"/>
  <c r="E7" i="6"/>
  <c r="E3" i="6"/>
  <c r="E5" i="6"/>
  <c r="E6" i="6"/>
  <c r="G2" i="6"/>
  <c r="E2" i="6"/>
  <c r="B3" i="6"/>
  <c r="B4" i="6" s="1"/>
  <c r="B5" i="6" s="1"/>
  <c r="B6" i="6" s="1"/>
  <c r="B7" i="6" s="1"/>
  <c r="B8" i="6" s="1"/>
  <c r="D36" i="5"/>
  <c r="C36" i="5"/>
  <c r="B36" i="5"/>
  <c r="N22" i="4"/>
  <c r="X18" i="4"/>
  <c r="V18" i="4"/>
  <c r="X17" i="4"/>
  <c r="V17" i="4"/>
  <c r="W17" i="4" s="1"/>
  <c r="X16" i="4"/>
  <c r="V16" i="4"/>
  <c r="W16" i="4" s="1"/>
  <c r="X15" i="4"/>
  <c r="V15" i="4"/>
  <c r="W15" i="4" s="1"/>
  <c r="X14" i="4"/>
  <c r="V14" i="4"/>
  <c r="X13" i="4"/>
  <c r="V13" i="4"/>
  <c r="W13" i="4" s="1"/>
  <c r="X12" i="4"/>
  <c r="V12" i="4"/>
  <c r="X11" i="4"/>
  <c r="V11" i="4"/>
  <c r="W10" i="4" s="1"/>
  <c r="X10" i="4"/>
  <c r="V10" i="4"/>
  <c r="X9" i="4"/>
  <c r="V9" i="4"/>
  <c r="E3" i="2" l="1"/>
  <c r="G3" i="2" s="1"/>
  <c r="D10" i="2"/>
  <c r="C3" i="2"/>
  <c r="B5" i="2"/>
  <c r="E4" i="2"/>
  <c r="G4" i="2" s="1"/>
  <c r="C4" i="2"/>
  <c r="Y17" i="4"/>
  <c r="Z17" i="4" s="1"/>
  <c r="Y14" i="4"/>
  <c r="Z14" i="4" s="1"/>
  <c r="Y10" i="4"/>
  <c r="Z10" i="4" s="1"/>
  <c r="Y18" i="4"/>
  <c r="Z18" i="4" s="1"/>
  <c r="V22" i="4"/>
  <c r="Y15" i="4"/>
  <c r="Z15" i="4" s="1"/>
  <c r="X22" i="4"/>
  <c r="Y12" i="4"/>
  <c r="Z12" i="4" s="1"/>
  <c r="W12" i="4"/>
  <c r="W14" i="4"/>
  <c r="W18" i="4"/>
  <c r="Y16" i="4"/>
  <c r="Z16" i="4" s="1"/>
  <c r="Y9" i="4"/>
  <c r="Z9" i="4" s="1"/>
  <c r="Y13" i="4"/>
  <c r="Z13" i="4" s="1"/>
  <c r="W11" i="4"/>
  <c r="W9" i="4"/>
  <c r="Y11" i="4"/>
  <c r="E5" i="2" l="1"/>
  <c r="G5" i="2" s="1"/>
  <c r="B6" i="2"/>
  <c r="C5" i="2"/>
  <c r="Y22" i="4"/>
  <c r="Z11" i="4"/>
  <c r="Z22" i="4" s="1"/>
  <c r="W22" i="4"/>
  <c r="C6" i="2" l="1"/>
  <c r="B7" i="2"/>
  <c r="E6" i="2"/>
  <c r="G6" i="2" s="1"/>
  <c r="B8" i="2" l="1"/>
  <c r="B10" i="2" s="1"/>
  <c r="E7" i="2"/>
  <c r="G7" i="2" s="1"/>
  <c r="C7" i="2"/>
  <c r="E8" i="2" l="1"/>
  <c r="C8" i="2"/>
  <c r="G8" i="2" l="1"/>
  <c r="G10" i="2" s="1"/>
</calcChain>
</file>

<file path=xl/sharedStrings.xml><?xml version="1.0" encoding="utf-8"?>
<sst xmlns="http://schemas.openxmlformats.org/spreadsheetml/2006/main" count="213" uniqueCount="173">
  <si>
    <t xml:space="preserve">Prepared by KS Ventures </t>
  </si>
  <si>
    <t xml:space="preserve">Table of Contents </t>
  </si>
  <si>
    <t xml:space="preserve">Contact Investment Banker </t>
  </si>
  <si>
    <t>Kunal Soonderji</t>
  </si>
  <si>
    <t>CEO - KS Ventures</t>
  </si>
  <si>
    <t>kunal@ksventures.co</t>
  </si>
  <si>
    <t>+91-7757-0432-23</t>
  </si>
  <si>
    <t>CAC</t>
  </si>
  <si>
    <t xml:space="preserve">Year  </t>
  </si>
  <si>
    <t>DCF</t>
  </si>
  <si>
    <t>CCV</t>
  </si>
  <si>
    <t>PTV</t>
  </si>
  <si>
    <t>Valuation (in Millions)</t>
  </si>
  <si>
    <t>Valuation Type</t>
  </si>
  <si>
    <t>Total</t>
  </si>
  <si>
    <t>s</t>
  </si>
  <si>
    <t>No</t>
  </si>
  <si>
    <t xml:space="preserve">Year </t>
  </si>
  <si>
    <t xml:space="preserve">Amount &amp; Tranches </t>
  </si>
  <si>
    <t>Revenue</t>
  </si>
  <si>
    <t>Dividends</t>
  </si>
  <si>
    <t>Other Equity</t>
  </si>
  <si>
    <t xml:space="preserve">Net Profit </t>
  </si>
  <si>
    <t>Buy Out</t>
  </si>
  <si>
    <t>Voting Rights</t>
  </si>
  <si>
    <t xml:space="preserve">Audit </t>
  </si>
  <si>
    <t>Stake %</t>
  </si>
  <si>
    <t>Cumulative %</t>
  </si>
  <si>
    <t>Margin %</t>
  </si>
  <si>
    <t>Life</t>
  </si>
  <si>
    <t xml:space="preserve">Annually </t>
  </si>
  <si>
    <t>Yes</t>
  </si>
  <si>
    <t>Total Paid To Investor</t>
  </si>
  <si>
    <t xml:space="preserve">Min Guaranteed Returns = </t>
  </si>
  <si>
    <t xml:space="preserve">Repayment </t>
  </si>
  <si>
    <t>Actual to debt</t>
  </si>
  <si>
    <t>Percentage to debt</t>
  </si>
  <si>
    <t>Net Profit or PAT</t>
  </si>
  <si>
    <t>Sinking Funds</t>
  </si>
  <si>
    <t>Take away</t>
  </si>
  <si>
    <t>Tenure</t>
  </si>
  <si>
    <t>Amount in USD</t>
  </si>
  <si>
    <t>Amount in INR</t>
  </si>
  <si>
    <t>USD Interest @ %pa</t>
  </si>
  <si>
    <t>Instalment Amount in USD</t>
  </si>
  <si>
    <t>Instalment Amount in INR</t>
  </si>
  <si>
    <t>Exit Fee</t>
  </si>
  <si>
    <t>Due date</t>
  </si>
  <si>
    <t xml:space="preserve">Tranches </t>
  </si>
  <si>
    <t xml:space="preserve">Projected </t>
  </si>
  <si>
    <t xml:space="preserve">Percentage </t>
  </si>
  <si>
    <t>Max %</t>
  </si>
  <si>
    <t>Min %</t>
  </si>
  <si>
    <t>Annual Repayment</t>
  </si>
  <si>
    <t>Disbursement</t>
  </si>
  <si>
    <t xml:space="preserve">DATA INPUT </t>
  </si>
  <si>
    <t>UAE COMPANY</t>
  </si>
  <si>
    <t>USD</t>
  </si>
  <si>
    <t xml:space="preserve">Year 1 </t>
  </si>
  <si>
    <t xml:space="preserve">Year 2 </t>
  </si>
  <si>
    <t>First Instalment</t>
  </si>
  <si>
    <t xml:space="preserve">Year 3 </t>
  </si>
  <si>
    <t>Dec 20 - 30 2024</t>
  </si>
  <si>
    <t>Second Instalment</t>
  </si>
  <si>
    <t xml:space="preserve">Year 4 </t>
  </si>
  <si>
    <t>Dec 20 - 30 2025</t>
  </si>
  <si>
    <t>Third Instalment</t>
  </si>
  <si>
    <t xml:space="preserve">Year 5 </t>
  </si>
  <si>
    <t>Dec 20 - 30 2026</t>
  </si>
  <si>
    <t>Fourth Instalment</t>
  </si>
  <si>
    <t>Year 6</t>
  </si>
  <si>
    <t>Dec 20 - 30 2027</t>
  </si>
  <si>
    <t>Fifth Instalment</t>
  </si>
  <si>
    <t>Year 7</t>
  </si>
  <si>
    <t>Dec 20 - 30 2028</t>
  </si>
  <si>
    <t>Sixth Instalment</t>
  </si>
  <si>
    <t>Year 8</t>
  </si>
  <si>
    <t>Dec 20 - 30 2029</t>
  </si>
  <si>
    <t>Seventh Instalment</t>
  </si>
  <si>
    <t>Year 9</t>
  </si>
  <si>
    <t>Dec 20 - 30 2030</t>
  </si>
  <si>
    <t>Eight Instalment</t>
  </si>
  <si>
    <t xml:space="preserve">Year 10 </t>
  </si>
  <si>
    <t>Dec 20 - 30 2031</t>
  </si>
  <si>
    <t>Ninth Instalment</t>
  </si>
  <si>
    <t>Year 11</t>
  </si>
  <si>
    <t>Dec 20 - 30 2032</t>
  </si>
  <si>
    <t xml:space="preserve">Tenth Instalment </t>
  </si>
  <si>
    <t>Year 12</t>
  </si>
  <si>
    <t>Dec 20 - 30 2033</t>
  </si>
  <si>
    <t xml:space="preserve">Total </t>
  </si>
  <si>
    <t>Percentage</t>
  </si>
  <si>
    <t xml:space="preserve">Over a 10 yr Term </t>
  </si>
  <si>
    <t>Yearly Pay out</t>
  </si>
  <si>
    <t>For Life</t>
  </si>
  <si>
    <t>Eleventh Instalment</t>
  </si>
  <si>
    <t>Twelth Instalment</t>
  </si>
  <si>
    <t>Summary</t>
  </si>
  <si>
    <t>Master Excel Report for Taqwa Collective</t>
  </si>
  <si>
    <t>YEAR</t>
  </si>
  <si>
    <t>REVENUE</t>
  </si>
  <si>
    <t>EBITDA</t>
  </si>
  <si>
    <t>SALES</t>
  </si>
  <si>
    <t>COST</t>
  </si>
  <si>
    <t>NET PROFIT</t>
  </si>
  <si>
    <t>PROFIT MARGIN</t>
  </si>
  <si>
    <t>ASSETS</t>
  </si>
  <si>
    <t>Benefactor Summary</t>
  </si>
  <si>
    <t xml:space="preserve">Past Performance Report </t>
  </si>
  <si>
    <t xml:space="preserve">Future Report </t>
  </si>
  <si>
    <t>Investment Report</t>
  </si>
  <si>
    <t>Label</t>
  </si>
  <si>
    <t>REFUND</t>
  </si>
  <si>
    <t>FEES</t>
  </si>
  <si>
    <t>BONUS</t>
  </si>
  <si>
    <t>Q1</t>
  </si>
  <si>
    <t>Q2</t>
  </si>
  <si>
    <t>Q3</t>
  </si>
  <si>
    <t>Q4</t>
  </si>
  <si>
    <t>FY 2024</t>
  </si>
  <si>
    <t>Refund Cases = 2.3% (max)</t>
  </si>
  <si>
    <t>Bonuses = 67% (shown as additional)</t>
  </si>
  <si>
    <t>No of Cases a month = 42,000</t>
  </si>
  <si>
    <t>No of Consultants = 350</t>
  </si>
  <si>
    <t>No of hours per week = 10,500</t>
  </si>
  <si>
    <t>FY2024</t>
  </si>
  <si>
    <t>CSAT</t>
  </si>
  <si>
    <t>STUDY OF COMPETITION</t>
  </si>
  <si>
    <t>Competitor A</t>
  </si>
  <si>
    <t>95M</t>
  </si>
  <si>
    <t>Competitor B</t>
  </si>
  <si>
    <t>102M</t>
  </si>
  <si>
    <t>Competitor C</t>
  </si>
  <si>
    <t>75M</t>
  </si>
  <si>
    <t>Taqwa Collective</t>
  </si>
  <si>
    <t>573M</t>
  </si>
  <si>
    <t>MARKET SHARE</t>
  </si>
  <si>
    <t>1700M</t>
  </si>
  <si>
    <t>1900M</t>
  </si>
  <si>
    <t>INVESTMENT - 35M</t>
  </si>
  <si>
    <t>RETUNRS - 4M (ANNUALLY)</t>
  </si>
  <si>
    <t>MARKET SIZE</t>
  </si>
  <si>
    <t>Q1 - 2023</t>
  </si>
  <si>
    <t>1200M</t>
  </si>
  <si>
    <t>Q1 - 2025</t>
  </si>
  <si>
    <t>Q1 - 2026</t>
  </si>
  <si>
    <t>2200M</t>
  </si>
  <si>
    <t>Q1 - 2024</t>
  </si>
  <si>
    <t>ADVERTISING SPEND</t>
  </si>
  <si>
    <t>MARKETING SPEND</t>
  </si>
  <si>
    <t>YEARS</t>
  </si>
  <si>
    <t>40.0M</t>
  </si>
  <si>
    <t>4.0M</t>
  </si>
  <si>
    <t>45.8M</t>
  </si>
  <si>
    <t>4.5M</t>
  </si>
  <si>
    <t>48.0M</t>
  </si>
  <si>
    <t>4.8M</t>
  </si>
  <si>
    <t>50.0M</t>
  </si>
  <si>
    <t>5.0M</t>
  </si>
  <si>
    <t>YOY Growth - 17%(2026-2046)</t>
  </si>
  <si>
    <t>CAGR - 17.5%(2026-2046)</t>
  </si>
  <si>
    <t>NET PROFIT MARGIN - 18%(2026 onwards 23%)</t>
  </si>
  <si>
    <t>CONSULTANTS</t>
  </si>
  <si>
    <t>Revenue in Millions</t>
  </si>
  <si>
    <t>in millions</t>
  </si>
  <si>
    <t>Equity based on negotiation</t>
  </si>
  <si>
    <t>4M Annually</t>
  </si>
  <si>
    <t>2026-2034</t>
  </si>
  <si>
    <t>35M + Equity for life</t>
  </si>
  <si>
    <t>Advertising Spend</t>
  </si>
  <si>
    <t>Marketing Spend</t>
  </si>
  <si>
    <t>Sales</t>
  </si>
  <si>
    <t>26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</si>
</sst>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#,##0.00;[Red]#,##0.00"/>
    <numFmt numFmtId="166" formatCode="#,##0.0000;[Red]#,##0.0000"/>
  </numFmts>
  <fonts count="35">
    <font>
      <sz val="11"/>
      <color theme="1"/>
      <name val="Aptos Narrow"/>
      <family val="2"/>
      <scheme val="minor"/>
    </font>
    <font>
      <sz val="11"/>
      <color rgb="FFC2C2C2"/>
      <name val="Aptos Narrow"/>
      <family val="2"/>
      <scheme val="minor"/>
    </font>
    <font>
      <sz val="11"/>
      <color rgb="FF323333"/>
      <name val="Aptos Narrow"/>
      <family val="2"/>
      <scheme val="minor"/>
    </font>
    <font>
      <sz val="36"/>
      <color rgb="FFC2C2C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C2C2C2"/>
      <name val="Aptos Narrow"/>
      <scheme val="minor"/>
    </font>
    <font>
      <sz val="11"/>
      <color theme="1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color indexed="8"/>
      <name val="Calibri"/>
      <family val="2"/>
    </font>
    <font>
      <b/>
      <sz val="10"/>
      <color rgb="FFC2C2C2"/>
      <name val="Aptos Narrow"/>
      <family val="2"/>
      <scheme val="minor"/>
    </font>
    <font>
      <b/>
      <sz val="10"/>
      <color rgb="FFC2C2C2"/>
      <name val="Calibri"/>
      <family val="2"/>
    </font>
    <font>
      <b/>
      <sz val="8"/>
      <color rgb="FFC2C2C2"/>
      <name val="Calibri"/>
      <family val="2"/>
    </font>
    <font>
      <b/>
      <sz val="6"/>
      <color rgb="FFC2C2C2"/>
      <name val="Calibri"/>
      <family val="2"/>
    </font>
    <font>
      <b/>
      <sz val="11"/>
      <color theme="4" tint="-0.499984740745262"/>
      <name val="Aptos Narrow"/>
      <family val="2"/>
      <scheme val="minor"/>
    </font>
    <font>
      <b/>
      <sz val="10"/>
      <color rgb="FF323333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C2C2C2"/>
      <name val="Aptos Narrow"/>
      <family val="2"/>
      <scheme val="minor"/>
    </font>
    <font>
      <b/>
      <sz val="9"/>
      <color rgb="FF888888"/>
      <name val="Aptos Narrow"/>
      <family val="2"/>
      <scheme val="minor"/>
    </font>
    <font>
      <b/>
      <sz val="11"/>
      <color rgb="FF323333"/>
      <name val="Aptos Narrow"/>
      <family val="2"/>
      <scheme val="minor"/>
    </font>
    <font>
      <sz val="11"/>
      <color rgb="FF294654"/>
      <name val="Aptos Narrow"/>
      <family val="2"/>
      <scheme val="minor"/>
    </font>
    <font>
      <sz val="20"/>
      <color rgb="FFFFC600"/>
      <name val="Aptos Narrow"/>
      <family val="2"/>
      <scheme val="minor"/>
    </font>
    <font>
      <sz val="36"/>
      <color rgb="FFCAC4B8"/>
      <name val="Aptos Narrow"/>
      <family val="2"/>
      <scheme val="minor"/>
    </font>
    <font>
      <sz val="11"/>
      <color rgb="FFCAC4B8"/>
      <name val="Aptos Narrow"/>
      <family val="2"/>
      <scheme val="minor"/>
    </font>
    <font>
      <sz val="18"/>
      <color rgb="FFCAC4B8"/>
      <name val="Aptos Narrow"/>
      <family val="2"/>
      <scheme val="minor"/>
    </font>
    <font>
      <sz val="14"/>
      <color rgb="FFCAC4B8"/>
      <name val="Aptos Narrow"/>
      <family val="2"/>
      <scheme val="minor"/>
    </font>
    <font>
      <sz val="12"/>
      <color rgb="FFCAC4B8"/>
      <name val="Aptos Narrow"/>
      <family val="2"/>
      <scheme val="minor"/>
    </font>
    <font>
      <b/>
      <sz val="11"/>
      <color rgb="FFFFC600"/>
      <name val="Aptos Narrow"/>
      <family val="2"/>
      <scheme val="minor"/>
    </font>
    <font>
      <sz val="11"/>
      <color rgb="FFFFC600"/>
      <name val="Aptos Narrow"/>
      <family val="2"/>
      <scheme val="minor"/>
    </font>
    <font>
      <b/>
      <sz val="12"/>
      <color rgb="FF294654"/>
      <name val="Aptos Narrow"/>
      <family val="2"/>
      <scheme val="minor"/>
    </font>
    <font>
      <sz val="10"/>
      <color rgb="FFFFC600"/>
      <name val="Aptos Narrow"/>
      <family val="2"/>
      <scheme val="minor"/>
    </font>
    <font>
      <b/>
      <sz val="10"/>
      <color rgb="FFFFC600"/>
      <name val="Aptos Narrow"/>
      <family val="2"/>
      <scheme val="minor"/>
    </font>
    <font>
      <b/>
      <sz val="10"/>
      <color rgb="FF294654"/>
      <name val="Aptos Narrow"/>
      <family val="2"/>
      <scheme val="minor"/>
    </font>
    <font>
      <sz val="10"/>
      <color rgb="FF29465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23333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294654"/>
        <bgColor indexed="64"/>
      </patternFill>
    </fill>
    <fill>
      <patternFill patternType="solid">
        <fgColor rgb="FFCAC4B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9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7" xfId="0" applyBorder="1"/>
    <xf numFmtId="9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0" fillId="0" borderId="0" xfId="3" applyNumberFormat="1" applyFont="1"/>
    <xf numFmtId="0" fontId="0" fillId="0" borderId="0" xfId="3" applyNumberFormat="1" applyFont="1"/>
    <xf numFmtId="1" fontId="7" fillId="0" borderId="0" xfId="3" applyNumberFormat="1" applyFont="1" applyAlignment="1">
      <alignment horizontal="center" vertical="center"/>
    </xf>
    <xf numFmtId="0" fontId="7" fillId="0" borderId="0" xfId="3" applyNumberFormat="1" applyFont="1" applyAlignment="1">
      <alignment horizontal="center" vertical="center"/>
    </xf>
    <xf numFmtId="1" fontId="8" fillId="0" borderId="0" xfId="3" applyNumberFormat="1" applyFont="1" applyAlignment="1">
      <alignment horizontal="center" vertical="center" wrapText="1"/>
    </xf>
    <xf numFmtId="3" fontId="9" fillId="0" borderId="0" xfId="3" applyNumberFormat="1" applyFont="1" applyAlignment="1">
      <alignment horizontal="center" vertical="center" wrapText="1"/>
    </xf>
    <xf numFmtId="0" fontId="9" fillId="0" borderId="0" xfId="3" applyNumberFormat="1" applyFont="1" applyAlignment="1">
      <alignment horizontal="center" vertical="center" wrapText="1"/>
    </xf>
    <xf numFmtId="1" fontId="7" fillId="3" borderId="0" xfId="3" applyNumberFormat="1" applyFont="1" applyFill="1" applyAlignment="1">
      <alignment horizontal="center" vertical="center"/>
    </xf>
    <xf numFmtId="3" fontId="7" fillId="3" borderId="0" xfId="3" applyNumberFormat="1" applyFont="1" applyFill="1" applyAlignment="1">
      <alignment horizontal="center" vertical="center"/>
    </xf>
    <xf numFmtId="0" fontId="7" fillId="3" borderId="0" xfId="3" applyNumberFormat="1" applyFont="1" applyFill="1" applyAlignment="1">
      <alignment horizontal="center" vertical="center"/>
    </xf>
    <xf numFmtId="1" fontId="11" fillId="2" borderId="0" xfId="3" applyNumberFormat="1" applyFont="1" applyFill="1" applyAlignment="1">
      <alignment horizontal="center" vertical="center"/>
    </xf>
    <xf numFmtId="0" fontId="11" fillId="2" borderId="0" xfId="3" applyNumberFormat="1" applyFont="1" applyFill="1" applyAlignment="1">
      <alignment horizontal="center" vertical="center"/>
    </xf>
    <xf numFmtId="9" fontId="11" fillId="2" borderId="0" xfId="3" applyNumberFormat="1" applyFont="1" applyFill="1" applyAlignment="1">
      <alignment horizontal="center" vertical="center"/>
    </xf>
    <xf numFmtId="1" fontId="11" fillId="2" borderId="9" xfId="3" applyNumberFormat="1" applyFont="1" applyFill="1" applyBorder="1" applyAlignment="1">
      <alignment horizontal="center" vertical="center"/>
    </xf>
    <xf numFmtId="0" fontId="11" fillId="2" borderId="9" xfId="3" applyNumberFormat="1" applyFont="1" applyFill="1" applyBorder="1" applyAlignment="1">
      <alignment horizontal="center" vertical="center"/>
    </xf>
    <xf numFmtId="0" fontId="11" fillId="2" borderId="10" xfId="3" applyNumberFormat="1" applyFont="1" applyFill="1" applyBorder="1" applyAlignment="1">
      <alignment horizontal="center" vertical="center"/>
    </xf>
    <xf numFmtId="3" fontId="11" fillId="2" borderId="9" xfId="3" applyNumberFormat="1" applyFont="1" applyFill="1" applyBorder="1" applyAlignment="1">
      <alignment horizontal="center" vertical="center"/>
    </xf>
    <xf numFmtId="10" fontId="11" fillId="2" borderId="9" xfId="3" applyNumberFormat="1" applyFont="1" applyFill="1" applyBorder="1" applyAlignment="1">
      <alignment horizontal="center" vertical="center"/>
    </xf>
    <xf numFmtId="0" fontId="0" fillId="0" borderId="11" xfId="0" applyBorder="1"/>
    <xf numFmtId="49" fontId="12" fillId="2" borderId="11" xfId="0" applyNumberFormat="1" applyFont="1" applyFill="1" applyBorder="1" applyAlignment="1">
      <alignment horizontal="center" vertical="center" wrapText="1"/>
    </xf>
    <xf numFmtId="2" fontId="12" fillId="2" borderId="11" xfId="2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 wrapText="1"/>
    </xf>
    <xf numFmtId="2" fontId="13" fillId="2" borderId="11" xfId="2" applyNumberFormat="1" applyFont="1" applyFill="1" applyBorder="1" applyAlignment="1">
      <alignment horizontal="center" vertical="center" wrapText="1"/>
    </xf>
    <xf numFmtId="0" fontId="12" fillId="2" borderId="11" xfId="2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1" xfId="2" applyNumberFormat="1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9" fontId="12" fillId="2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10" fillId="0" borderId="11" xfId="2" applyNumberFormat="1" applyFont="1" applyBorder="1" applyAlignment="1">
      <alignment horizontal="center" vertical="center" wrapText="1"/>
    </xf>
    <xf numFmtId="0" fontId="15" fillId="0" borderId="0" xfId="3" applyNumberFormat="1" applyFont="1" applyAlignment="1">
      <alignment horizontal="center" vertical="center" wrapText="1"/>
    </xf>
    <xf numFmtId="4" fontId="9" fillId="0" borderId="0" xfId="3" applyNumberFormat="1" applyFont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2" fontId="12" fillId="0" borderId="11" xfId="2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12" fontId="16" fillId="3" borderId="11" xfId="0" applyNumberFormat="1" applyFont="1" applyFill="1" applyBorder="1" applyAlignment="1">
      <alignment horizontal="center" vertical="center" wrapText="1"/>
    </xf>
    <xf numFmtId="2" fontId="16" fillId="3" borderId="11" xfId="4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2" fontId="16" fillId="3" borderId="11" xfId="2" applyNumberFormat="1" applyFont="1" applyFill="1" applyBorder="1" applyAlignment="1">
      <alignment horizontal="center" vertical="center" wrapText="1"/>
    </xf>
    <xf numFmtId="2" fontId="16" fillId="3" borderId="11" xfId="3" applyNumberFormat="1" applyFont="1" applyFill="1" applyBorder="1" applyAlignment="1">
      <alignment horizontal="center" vertical="center" wrapText="1"/>
    </xf>
    <xf numFmtId="2" fontId="16" fillId="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9" fontId="16" fillId="3" borderId="11" xfId="0" applyNumberFormat="1" applyFont="1" applyFill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7" fillId="0" borderId="0" xfId="0" applyFont="1"/>
    <xf numFmtId="3" fontId="19" fillId="0" borderId="0" xfId="3" applyNumberFormat="1" applyFont="1" applyAlignment="1">
      <alignment horizontal="center" vertical="center"/>
    </xf>
    <xf numFmtId="0" fontId="21" fillId="4" borderId="0" xfId="0" applyFont="1" applyFill="1"/>
    <xf numFmtId="0" fontId="0" fillId="4" borderId="0" xfId="0" applyFill="1"/>
    <xf numFmtId="0" fontId="3" fillId="4" borderId="0" xfId="0" applyFont="1" applyFill="1"/>
    <xf numFmtId="0" fontId="22" fillId="4" borderId="0" xfId="0" applyFont="1" applyFill="1"/>
    <xf numFmtId="0" fontId="23" fillId="4" borderId="0" xfId="0" applyFont="1" applyFill="1"/>
    <xf numFmtId="0" fontId="24" fillId="4" borderId="0" xfId="0" applyFont="1" applyFill="1"/>
    <xf numFmtId="0" fontId="25" fillId="4" borderId="0" xfId="0" applyFont="1" applyFill="1"/>
    <xf numFmtId="0" fontId="26" fillId="4" borderId="0" xfId="0" applyFont="1" applyFill="1"/>
    <xf numFmtId="0" fontId="24" fillId="4" borderId="0" xfId="1" applyFont="1" applyFill="1"/>
    <xf numFmtId="49" fontId="27" fillId="4" borderId="0" xfId="0" applyNumberFormat="1" applyFont="1" applyFill="1"/>
    <xf numFmtId="0" fontId="28" fillId="2" borderId="1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49" fontId="12" fillId="4" borderId="11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4" xfId="0" applyFill="1" applyBorder="1"/>
    <xf numFmtId="0" fontId="0" fillId="4" borderId="5" xfId="0" applyFill="1" applyBorder="1"/>
    <xf numFmtId="0" fontId="0" fillId="4" borderId="8" xfId="0" applyFill="1" applyBorder="1"/>
    <xf numFmtId="0" fontId="0" fillId="4" borderId="6" xfId="0" applyFill="1" applyBorder="1"/>
    <xf numFmtId="0" fontId="28" fillId="2" borderId="0" xfId="0" applyFon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4" borderId="0" xfId="0" applyFont="1" applyFill="1"/>
    <xf numFmtId="0" fontId="28" fillId="4" borderId="1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0" fillId="5" borderId="3" xfId="0" applyFill="1" applyBorder="1"/>
    <xf numFmtId="0" fontId="0" fillId="5" borderId="0" xfId="0" applyFill="1"/>
    <xf numFmtId="3" fontId="0" fillId="5" borderId="0" xfId="0" applyNumberFormat="1" applyFill="1"/>
    <xf numFmtId="3" fontId="0" fillId="5" borderId="4" xfId="0" applyNumberFormat="1" applyFill="1" applyBorder="1"/>
    <xf numFmtId="0" fontId="28" fillId="4" borderId="5" xfId="0" applyFont="1" applyFill="1" applyBorder="1"/>
    <xf numFmtId="0" fontId="28" fillId="4" borderId="8" xfId="0" applyFont="1" applyFill="1" applyBorder="1"/>
    <xf numFmtId="3" fontId="28" fillId="4" borderId="8" xfId="0" applyNumberFormat="1" applyFont="1" applyFill="1" applyBorder="1"/>
    <xf numFmtId="3" fontId="28" fillId="4" borderId="6" xfId="0" applyNumberFormat="1" applyFont="1" applyFill="1" applyBorder="1"/>
    <xf numFmtId="0" fontId="0" fillId="5" borderId="3" xfId="0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4" xfId="0" applyNumberFormat="1" applyBorder="1"/>
    <xf numFmtId="9" fontId="0" fillId="5" borderId="4" xfId="0" applyNumberFormat="1" applyFill="1" applyBorder="1"/>
    <xf numFmtId="9" fontId="28" fillId="4" borderId="2" xfId="0" applyNumberFormat="1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9" fontId="0" fillId="4" borderId="6" xfId="0" applyNumberFormat="1" applyFill="1" applyBorder="1"/>
    <xf numFmtId="9" fontId="29" fillId="4" borderId="0" xfId="0" applyNumberFormat="1" applyFont="1" applyFill="1" applyAlignment="1">
      <alignment horizontal="center" vertical="center"/>
    </xf>
    <xf numFmtId="0" fontId="0" fillId="5" borderId="5" xfId="0" applyFill="1" applyBorder="1"/>
    <xf numFmtId="9" fontId="0" fillId="5" borderId="6" xfId="0" applyNumberFormat="1" applyFill="1" applyBorder="1"/>
    <xf numFmtId="0" fontId="31" fillId="4" borderId="1" xfId="0" applyFont="1" applyFill="1" applyBorder="1" applyAlignment="1">
      <alignment horizontal="left" vertical="center"/>
    </xf>
    <xf numFmtId="9" fontId="29" fillId="4" borderId="2" xfId="0" applyNumberFormat="1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0" xfId="0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5" borderId="3" xfId="0" applyFill="1" applyBorder="1" applyAlignment="1">
      <alignment vertical="center"/>
    </xf>
    <xf numFmtId="9" fontId="0" fillId="5" borderId="4" xfId="0" applyNumberForma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9" fontId="0" fillId="5" borderId="6" xfId="0" applyNumberFormat="1" applyFill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3" fontId="0" fillId="5" borderId="6" xfId="0" applyNumberFormat="1" applyFill="1" applyBorder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64" fontId="28" fillId="2" borderId="0" xfId="0" applyNumberFormat="1" applyFont="1" applyFill="1" applyAlignment="1">
      <alignment horizontal="center" vertical="center"/>
    </xf>
    <xf numFmtId="164" fontId="29" fillId="4" borderId="0" xfId="0" applyNumberFormat="1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5" fontId="28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3" borderId="1" xfId="0" applyFill="1" applyBorder="1" applyAlignment="1">
      <alignment horizontal="center" vertical="center"/>
    </xf>
    <xf numFmtId="164" fontId="29" fillId="4" borderId="0" xfId="0" applyNumberFormat="1" applyFont="1" applyFill="1" applyAlignment="1">
      <alignment vertical="center"/>
    </xf>
    <xf numFmtId="0" fontId="0" fillId="4" borderId="3" xfId="0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165" fontId="29" fillId="4" borderId="0" xfId="0" applyNumberFormat="1" applyFont="1" applyFill="1" applyAlignment="1">
      <alignment vertical="center"/>
    </xf>
    <xf numFmtId="165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0" fillId="4" borderId="5" xfId="0" applyFill="1" applyBorder="1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3" applyNumberFormat="1" applyFont="1" applyAlignment="1">
      <alignment horizontal="center"/>
    </xf>
    <xf numFmtId="1" fontId="9" fillId="0" borderId="0" xfId="3" applyNumberFormat="1" applyFont="1" applyAlignment="1">
      <alignment horizontal="left" vertical="center" wrapText="1"/>
    </xf>
    <xf numFmtId="1" fontId="0" fillId="0" borderId="0" xfId="0" applyNumberFormat="1"/>
    <xf numFmtId="4" fontId="7" fillId="3" borderId="0" xfId="3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9" fillId="4" borderId="0" xfId="0" applyFont="1" applyFill="1"/>
    <xf numFmtId="166" fontId="29" fillId="4" borderId="0" xfId="0" applyNumberFormat="1" applyFont="1" applyFill="1" applyAlignment="1">
      <alignment horizontal="center" vertical="center"/>
    </xf>
    <xf numFmtId="9" fontId="0" fillId="0" borderId="0" xfId="0" applyNumberFormat="1" applyAlignment="1">
      <alignment horizontal="center"/>
    </xf>
    <xf numFmtId="164" fontId="28" fillId="4" borderId="0" xfId="0" applyNumberFormat="1" applyFont="1" applyFill="1"/>
    <xf numFmtId="164" fontId="28" fillId="4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9" fontId="18" fillId="0" borderId="0" xfId="0" applyNumberFormat="1" applyFont="1" applyAlignment="1">
      <alignment horizontal="center"/>
    </xf>
    <xf numFmtId="0" fontId="18" fillId="0" borderId="0" xfId="0" applyFont="1"/>
    <xf numFmtId="9" fontId="18" fillId="0" borderId="0" xfId="0" applyNumberFormat="1" applyFont="1"/>
    <xf numFmtId="2" fontId="1" fillId="2" borderId="0" xfId="0" applyNumberFormat="1" applyFont="1" applyFill="1" applyAlignment="1">
      <alignment horizontal="center"/>
    </xf>
    <xf numFmtId="2" fontId="0" fillId="5" borderId="0" xfId="0" applyNumberFormat="1" applyFill="1"/>
    <xf numFmtId="2" fontId="5" fillId="2" borderId="0" xfId="0" applyNumberFormat="1" applyFont="1" applyFill="1"/>
    <xf numFmtId="164" fontId="20" fillId="5" borderId="0" xfId="0" applyNumberFormat="1" applyFont="1" applyFill="1" applyAlignment="1">
      <alignment horizontal="center" vertical="center"/>
    </xf>
    <xf numFmtId="166" fontId="20" fillId="5" borderId="0" xfId="0" applyNumberFormat="1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28" fillId="5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164" fontId="0" fillId="5" borderId="0" xfId="0" applyNumberFormat="1" applyFill="1"/>
    <xf numFmtId="164" fontId="0" fillId="2" borderId="0" xfId="0" applyNumberFormat="1" applyFill="1"/>
    <xf numFmtId="0" fontId="18" fillId="2" borderId="0" xfId="0" applyFont="1" applyFill="1"/>
    <xf numFmtId="8" fontId="28" fillId="2" borderId="2" xfId="0" applyNumberFormat="1" applyFont="1" applyFill="1" applyBorder="1" applyAlignment="1">
      <alignment horizontal="center" vertical="center"/>
    </xf>
    <xf numFmtId="8" fontId="28" fillId="2" borderId="4" xfId="0" applyNumberFormat="1" applyFont="1" applyFill="1" applyBorder="1" applyAlignment="1">
      <alignment horizontal="center" vertical="center"/>
    </xf>
    <xf numFmtId="8" fontId="28" fillId="2" borderId="6" xfId="0" applyNumberFormat="1" applyFont="1" applyFill="1" applyBorder="1" applyAlignment="1">
      <alignment horizontal="center" vertical="center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323333"/>
      <color rgb="FFCAC4B8"/>
      <color rgb="FF294654"/>
      <color rgb="FFFFC600"/>
      <color rgb="FF06DCCC"/>
      <color rgb="FFC2C2C2"/>
      <color rgb="FF888888"/>
      <color rgb="FF007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REVENUE,</a:t>
            </a:r>
            <a:r>
              <a:rPr lang="en-US" baseline="0"/>
              <a:t> SALES &amp; NET PROFIT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'Past Performance'!$B$1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'Past Performance'!$A$2:$A$8</c:f>
              <c:numCache>
                <c:formatCode>General</c:formatCode>
                <c:ptCount val="7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'Past Performance'!$B$2:$B$8</c:f>
              <c:numCache>
                <c:formatCode>0.0000</c:formatCode>
                <c:ptCount val="7"/>
                <c:pt idx="0">
                  <c:v>6.4</c:v>
                </c:pt>
                <c:pt idx="1">
                  <c:v>8.32</c:v>
                </c:pt>
                <c:pt idx="2">
                  <c:v>12.48</c:v>
                </c:pt>
                <c:pt idx="3">
                  <c:v>23.712</c:v>
                </c:pt>
                <c:pt idx="4">
                  <c:v>142.27199999999999</c:v>
                </c:pt>
                <c:pt idx="5">
                  <c:v>426.81599999999997</c:v>
                </c:pt>
                <c:pt idx="6">
                  <c:v>554.86080000000004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7-4A08-BE0F-B71756F04AD4}"/>
            </c:ext>
          </c:extLst>
        </c:ser>
        <c:ser>
          <c:idx val="2"/>
          <c:order val="2"/>
          <c:tx>
            <c:strRef>
              <c:f>'Past Performance'!$D$1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'Past Performance'!$A$2:$A$8</c:f>
              <c:numCache>
                <c:formatCode>General</c:formatCode>
                <c:ptCount val="7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'Past Performance'!$D$2:$D$8</c:f>
              <c:numCache>
                <c:formatCode>0.0000</c:formatCode>
                <c:ptCount val="7"/>
                <c:pt idx="0">
                  <c:v>6.4</c:v>
                </c:pt>
                <c:pt idx="1">
                  <c:v>8.32</c:v>
                </c:pt>
                <c:pt idx="2">
                  <c:v>12.48</c:v>
                </c:pt>
                <c:pt idx="3">
                  <c:v>23.712</c:v>
                </c:pt>
                <c:pt idx="4">
                  <c:v>142.27199999999999</c:v>
                </c:pt>
                <c:pt idx="5" formatCode="#,##0.0000;[Red]#,##0.0000">
                  <c:v>421.50869999999998</c:v>
                </c:pt>
                <c:pt idx="6" formatCode="#,##0.0000;[Red]#,##0.0000">
                  <c:v>498.40559999999999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7-4A08-BE0F-B71756F04AD4}"/>
            </c:ext>
          </c:extLst>
        </c:ser>
        <c:ser>
          <c:idx val="3"/>
          <c:order val="3"/>
          <c:tx>
            <c:strRef>
              <c:f>'Past Performance'!$G$1</c:f>
              <c:strCache>
                <c:ptCount val="1"/>
                <c:pt idx="0">
                  <c:v>NET PROFIT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</c:spPr>
          <c:invertIfNegative val="0"/>
          <c:cat>
            <c:numRef>
              <c:f>'Past Performance'!$A$2:$A$8</c:f>
              <c:numCache>
                <c:formatCode>General</c:formatCode>
                <c:ptCount val="7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'Past Performance'!$G$2:$G$8</c:f>
              <c:numCache>
                <c:formatCode>0.0000</c:formatCode>
                <c:ptCount val="7"/>
                <c:pt idx="0">
                  <c:v>3.5840000000000001</c:v>
                </c:pt>
                <c:pt idx="1">
                  <c:v>4.6592000000000002</c:v>
                </c:pt>
                <c:pt idx="2">
                  <c:v>6.9888000000000003</c:v>
                </c:pt>
                <c:pt idx="3">
                  <c:v>13.27872</c:v>
                </c:pt>
                <c:pt idx="4">
                  <c:v>79.672319999999985</c:v>
                </c:pt>
                <c:pt idx="5">
                  <c:v>76.826880000000017</c:v>
                </c:pt>
                <c:pt idx="6">
                  <c:v>99.874944000000028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07-4A08-BE0F-B71756F04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30"/>
        <c:axId val="164599407"/>
        <c:axId val="16459796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'Past Performance'!$C$1</c15:sqref>
                        </c15:formulaRef>
                      </c:ext>
                    </c:extLst>
                    <c:strCache>
                      <c:ptCount val="1"/>
                      <c:pt idx="0">
                        <c:v>EBITDA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'Past Performance'!$A$2:$A$8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1999</c:v>
                      </c:pt>
                      <c:pt idx="1">
                        <c:v>2004</c:v>
                      </c:pt>
                      <c:pt idx="2">
                        <c:v>2009</c:v>
                      </c:pt>
                      <c:pt idx="3">
                        <c:v>2014</c:v>
                      </c:pt>
                      <c:pt idx="4">
                        <c:v>2019</c:v>
                      </c:pt>
                      <c:pt idx="5">
                        <c:v>2024</c:v>
                      </c:pt>
                      <c:pt idx="6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'Past Performance'!$C$2:$C$8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2.5600000000000005</c:v>
                      </c:pt>
                      <c:pt idx="1">
                        <c:v>3.3280000000000003</c:v>
                      </c:pt>
                      <c:pt idx="2">
                        <c:v>4.9920000000000009</c:v>
                      </c:pt>
                      <c:pt idx="3">
                        <c:v>9.4847999999999999</c:v>
                      </c:pt>
                      <c:pt idx="4">
                        <c:v>56.908799999999999</c:v>
                      </c:pt>
                      <c:pt idx="5">
                        <c:v>170.72640000000001</c:v>
                      </c:pt>
                      <c:pt idx="6">
                        <c:v>221.94432000000003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307-4A08-BE0F-B71756F04AD4}"/>
                  </c:ext>
                </c:extLst>
              </c15:ser>
            </c15:filteredBarSeries>
          </c:ext>
        </c:extLst>
      </c:barChart>
      <c:catAx>
        <c:axId val="1645994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597967"/>
        <c:crosses val="autoZero"/>
        <c:auto val="1"/>
        <c:lblAlgn val="ctr"/>
        <c:lblOffset val="100"/>
        <c:noMultiLvlLbl val="0"/>
      </c:catAx>
      <c:valAx>
        <c:axId val="164597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599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100"/>
              <a:t>Revenue in millions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'Future Report'!$B$1</c:f>
              <c:strCache>
                <c:ptCount val="1"/>
                <c:pt idx="0">
                  <c:v>Revenue in Millions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'Future Report'!$A$2:$A$22</c15:sqref>
                  </c15:fullRef>
                </c:ext>
              </c:extLst>
              <c:f>'Future Report'!$A$2:$A$21</c:f>
              <c:numCache>
                <c:formatCode>General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'Future Report'!$B$2:$B$22</c15:sqref>
                  </c15:fullRef>
                </c:ext>
              </c:extLst>
              <c:f>'Future Report'!$B$2:$B$21</c:f>
              <c:numCache>
                <c:formatCode>0.0000</c:formatCode>
                <c:ptCount val="20"/>
                <c:pt idx="0">
                  <c:v>612</c:v>
                </c:pt>
                <c:pt idx="1">
                  <c:v>617</c:v>
                </c:pt>
                <c:pt idx="2">
                  <c:v>690</c:v>
                </c:pt>
                <c:pt idx="3">
                  <c:v>710</c:v>
                </c:pt>
                <c:pt idx="4">
                  <c:v>725</c:v>
                </c:pt>
                <c:pt idx="5">
                  <c:v>770</c:v>
                </c:pt>
                <c:pt idx="6">
                  <c:v>800</c:v>
                </c:pt>
                <c:pt idx="7">
                  <c:v>900</c:v>
                </c:pt>
                <c:pt idx="8">
                  <c:v>1100</c:v>
                </c:pt>
                <c:pt idx="9">
                  <c:v>1210</c:v>
                </c:pt>
                <c:pt idx="10">
                  <c:v>1213</c:v>
                </c:pt>
                <c:pt idx="11">
                  <c:v>1300</c:v>
                </c:pt>
                <c:pt idx="12">
                  <c:v>1400</c:v>
                </c:pt>
                <c:pt idx="13">
                  <c:v>1500</c:v>
                </c:pt>
                <c:pt idx="14">
                  <c:v>1550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5-431D-9D85-6153DF4EA1EE}"/>
            </c:ext>
          </c:extLst>
        </c:ser>
        <c:ser>
          <c:idx val="1"/>
          <c:order val="1"/>
          <c:tx>
            <c:strRef>
              <c:f>'Future Report'!#REF!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'Future Report'!$A$2:$A$22</c15:sqref>
                  </c15:fullRef>
                </c:ext>
              </c:extLst>
              <c:f>'Future Report'!$A$2:$A$21</c:f>
              <c:numCache>
                <c:formatCode>General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</c:numCache>
            </c:numRef>
          </c:cat>
          <c:val>
            <c:numRef>
              <c:f>'Future Report'!#REF!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1BF5-431D-9D85-6153DF4EA1EE}"/>
            </c:ext>
          </c:extLst>
        </c:ser>
        <c:ser>
          <c:idx val="2"/>
          <c:order val="2"/>
          <c:tx>
            <c:strRef>
              <c:f>'Future Report'!#REF!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'Future Report'!$A$2:$A$22</c15:sqref>
                  </c15:fullRef>
                </c:ext>
              </c:extLst>
              <c:f>'Future Report'!$A$2:$A$21</c:f>
              <c:numCache>
                <c:formatCode>General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</c:numCache>
            </c:numRef>
          </c:cat>
          <c:val>
            <c:numRef>
              <c:f>'Future Report'!#REF!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2-1BF5-431D-9D85-6153DF4EA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040060367"/>
        <c:axId val="2040055087"/>
      </c:barChart>
      <c:catAx>
        <c:axId val="20400603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55087"/>
        <c:crosses val="autoZero"/>
        <c:auto val="1"/>
        <c:lblAlgn val="ctr"/>
        <c:lblOffset val="100"/>
        <c:noMultiLvlLbl val="0"/>
      </c:catAx>
      <c:valAx>
        <c:axId val="204005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060367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38457</xdr:rowOff>
    </xdr:from>
    <xdr:to>
      <xdr:col>7</xdr:col>
      <xdr:colOff>1140316</xdr:colOff>
      <xdr:row>28</xdr:row>
      <xdr:rowOff>0</xdr:rowOff>
    </xdr:to>
    <xdr:graphicFrame macro="">
      <xdr:nvGraphicFramePr>
        <xdr:cNvPr id="9" name="Chart 8" descr="Chart type: Clustered Column. Multiple values by 'YEAR'&#10;&#10;Description automatically generated">
          <a:extLst>
            <a:ext uri="{FF2B5EF4-FFF2-40B4-BE49-F238E27FC236}">
              <a16:creationId xmlns:a16="http://schemas.microsoft.com/office/drawing/2014/main" id="{1E0F76E1-B8C3-F6BE-6EDC-69A16AA69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107084</xdr:rowOff>
    </xdr:from>
    <xdr:to>
      <xdr:col>3</xdr:col>
      <xdr:colOff>242455</xdr:colOff>
      <xdr:row>37</xdr:row>
      <xdr:rowOff>151534</xdr:rowOff>
    </xdr:to>
    <xdr:graphicFrame macro="">
      <xdr:nvGraphicFramePr>
        <xdr:cNvPr id="2" name="Chart 1" descr="Chart type: Clustered Column. 'P1 - Revenue (in b)', 'P2 - Revenue (in b)', 'P3 - Revenue (in b)' by 'Year'&#10;&#10;Description automatically generated">
          <a:extLst>
            <a:ext uri="{FF2B5EF4-FFF2-40B4-BE49-F238E27FC236}">
              <a16:creationId xmlns:a16="http://schemas.microsoft.com/office/drawing/2014/main" id="{68130D98-0CD6-7998-DCE0-3A6872676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al@ksventures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F21-E1C1-44EC-83CA-5EFA81877DEA}">
  <dimension ref="A1:Z31"/>
  <sheetViews>
    <sheetView topLeftCell="A4" zoomScale="114" workbookViewId="0">
      <selection activeCell="E24" sqref="E24"/>
    </sheetView>
  </sheetViews>
  <sheetFormatPr defaultRowHeight="14.25"/>
  <sheetData>
    <row r="1" spans="1:26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46.5">
      <c r="A5" s="65"/>
      <c r="B5" s="65"/>
      <c r="C5" s="65"/>
      <c r="D5" s="64"/>
      <c r="E5" s="65"/>
      <c r="F5" s="66"/>
      <c r="G5" s="68" t="s">
        <v>98</v>
      </c>
      <c r="H5" s="66"/>
      <c r="I5" s="66"/>
      <c r="J5" s="66"/>
      <c r="K5" s="66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26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7" t="s">
        <v>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2" spans="1:26"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</row>
    <row r="13" spans="1:26" ht="24">
      <c r="F13" s="69"/>
      <c r="G13" s="70" t="s">
        <v>1</v>
      </c>
      <c r="H13" s="70"/>
      <c r="I13" s="70"/>
      <c r="J13" s="69"/>
      <c r="K13" s="69"/>
      <c r="L13" s="69"/>
      <c r="M13" s="69"/>
      <c r="N13" s="69"/>
      <c r="O13" s="69"/>
      <c r="P13" s="69"/>
      <c r="Q13" s="69"/>
      <c r="R13" s="69"/>
      <c r="S13" s="69"/>
    </row>
    <row r="14" spans="1:26"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  <row r="15" spans="1:26" ht="18.75">
      <c r="F15" s="69">
        <v>1</v>
      </c>
      <c r="G15" s="71" t="s">
        <v>107</v>
      </c>
      <c r="H15" s="71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</row>
    <row r="16" spans="1:26"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</row>
    <row r="17" spans="6:19" ht="18.75">
      <c r="F17" s="69">
        <v>2</v>
      </c>
      <c r="G17" s="71" t="s">
        <v>97</v>
      </c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6:19"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6:19" ht="18.75">
      <c r="F19" s="69">
        <v>3</v>
      </c>
      <c r="G19" s="71" t="s">
        <v>108</v>
      </c>
      <c r="H19" s="71"/>
      <c r="I19" s="71"/>
      <c r="J19" s="69"/>
      <c r="K19" s="69"/>
      <c r="L19" s="69"/>
      <c r="M19" s="69"/>
      <c r="N19" s="69"/>
      <c r="O19" s="69"/>
      <c r="P19" s="69"/>
      <c r="Q19" s="69"/>
      <c r="R19" s="69"/>
      <c r="S19" s="69"/>
    </row>
    <row r="20" spans="6:19" ht="18.75">
      <c r="F20" s="69"/>
      <c r="G20" s="71"/>
      <c r="H20" s="71"/>
      <c r="I20" s="71"/>
      <c r="J20" s="69"/>
      <c r="K20" s="69"/>
      <c r="L20" s="69"/>
      <c r="M20" s="69"/>
      <c r="N20" s="69"/>
      <c r="O20" s="69"/>
      <c r="P20" s="69"/>
      <c r="Q20" s="69"/>
      <c r="R20" s="69"/>
      <c r="S20" s="69"/>
    </row>
    <row r="21" spans="6:19" ht="18.75">
      <c r="F21" s="69">
        <v>4</v>
      </c>
      <c r="G21" s="71" t="s">
        <v>109</v>
      </c>
      <c r="H21" s="71"/>
      <c r="I21" s="71"/>
      <c r="J21" s="69"/>
      <c r="K21" s="69"/>
      <c r="L21" s="69"/>
      <c r="M21" s="69"/>
      <c r="N21" s="69"/>
      <c r="O21" s="69"/>
      <c r="P21" s="69"/>
      <c r="Q21" s="69"/>
      <c r="R21" s="69"/>
      <c r="S21" s="69"/>
    </row>
    <row r="22" spans="6:19" ht="18.75">
      <c r="F22" s="69"/>
      <c r="G22" s="71"/>
      <c r="H22" s="71"/>
      <c r="I22" s="71"/>
      <c r="J22" s="69"/>
      <c r="K22" s="69"/>
      <c r="L22" s="69"/>
      <c r="M22" s="69"/>
      <c r="N22" s="69"/>
      <c r="O22" s="69"/>
      <c r="P22" s="69"/>
      <c r="Q22" s="69"/>
      <c r="R22" s="69"/>
      <c r="S22" s="69"/>
    </row>
    <row r="23" spans="6:19" ht="18.75">
      <c r="F23" s="69">
        <v>5</v>
      </c>
      <c r="G23" s="71" t="s">
        <v>110</v>
      </c>
      <c r="H23" s="71"/>
      <c r="I23" s="71"/>
      <c r="J23" s="69"/>
      <c r="K23" s="69"/>
      <c r="L23" s="69"/>
      <c r="M23" s="69"/>
      <c r="N23" s="69"/>
      <c r="O23" s="69"/>
      <c r="P23" s="69"/>
      <c r="Q23" s="69"/>
      <c r="R23" s="69"/>
      <c r="S23" s="69"/>
    </row>
    <row r="24" spans="6:19" ht="18.75">
      <c r="F24" s="69"/>
      <c r="G24" s="71"/>
      <c r="H24" s="71"/>
      <c r="I24" s="71"/>
      <c r="J24" s="69"/>
      <c r="K24" s="69"/>
      <c r="L24" s="69"/>
      <c r="M24" s="69"/>
      <c r="N24" s="69"/>
      <c r="O24" s="69"/>
      <c r="P24" s="69"/>
      <c r="Q24" s="69"/>
      <c r="R24" s="69"/>
      <c r="S24" s="69"/>
    </row>
    <row r="25" spans="6:19">
      <c r="F25" s="69"/>
      <c r="G25" s="69"/>
      <c r="H25" s="69"/>
      <c r="I25" s="69"/>
      <c r="J25" s="69"/>
      <c r="K25" s="69"/>
      <c r="L25" s="69"/>
      <c r="M25" s="69"/>
      <c r="N25" s="69"/>
      <c r="O25" s="69" t="s">
        <v>2</v>
      </c>
      <c r="P25" s="69"/>
      <c r="Q25" s="69"/>
      <c r="R25" s="69"/>
      <c r="S25" s="69"/>
    </row>
    <row r="26" spans="6:19"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</row>
    <row r="27" spans="6:19">
      <c r="F27" s="69"/>
      <c r="G27" s="69"/>
      <c r="H27" s="69"/>
      <c r="I27" s="69"/>
      <c r="J27" s="69"/>
      <c r="K27" s="69"/>
      <c r="L27" s="69"/>
      <c r="M27" s="69"/>
      <c r="N27" s="69"/>
      <c r="O27" s="69" t="s">
        <v>3</v>
      </c>
      <c r="P27" s="69"/>
      <c r="Q27" s="69"/>
      <c r="R27" s="69"/>
      <c r="S27" s="69"/>
    </row>
    <row r="28" spans="6:19">
      <c r="F28" s="69"/>
      <c r="G28" s="69"/>
      <c r="H28" s="69"/>
      <c r="I28" s="69"/>
      <c r="J28" s="69"/>
      <c r="K28" s="69"/>
      <c r="L28" s="69"/>
      <c r="M28" s="69"/>
      <c r="N28" s="69"/>
      <c r="O28" s="69" t="s">
        <v>4</v>
      </c>
      <c r="P28" s="69"/>
      <c r="Q28" s="69"/>
      <c r="R28" s="69"/>
      <c r="S28" s="69"/>
    </row>
    <row r="29" spans="6:19">
      <c r="F29" s="69"/>
      <c r="G29" s="69"/>
      <c r="H29" s="69"/>
      <c r="I29" s="69"/>
      <c r="J29" s="69"/>
      <c r="K29" s="69"/>
      <c r="L29" s="69"/>
      <c r="M29" s="69"/>
      <c r="N29" s="69"/>
      <c r="O29" s="72" t="s">
        <v>5</v>
      </c>
      <c r="P29" s="69"/>
      <c r="Q29" s="69"/>
      <c r="R29" s="69"/>
      <c r="S29" s="69"/>
    </row>
    <row r="30" spans="6:19" ht="15.75">
      <c r="F30" s="69"/>
      <c r="G30" s="69"/>
      <c r="H30" s="69"/>
      <c r="I30" s="69"/>
      <c r="J30" s="69"/>
      <c r="K30" s="69"/>
      <c r="L30" s="69"/>
      <c r="M30" s="69"/>
      <c r="N30" s="69"/>
      <c r="O30" s="73" t="s">
        <v>6</v>
      </c>
      <c r="P30" s="73"/>
      <c r="Q30" s="69"/>
      <c r="R30" s="69"/>
      <c r="S30" s="69"/>
    </row>
    <row r="31" spans="6:19"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</row>
  </sheetData>
  <hyperlinks>
    <hyperlink ref="O29" r:id="rId1" xr:uid="{2B13B923-8D98-489B-820A-6223A5660D3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9C61-7C64-4049-B675-A36A8792F5DD}">
  <dimension ref="A1:R38"/>
  <sheetViews>
    <sheetView zoomScale="115" zoomScaleNormal="320" workbookViewId="0">
      <selection activeCell="D11" sqref="D11"/>
    </sheetView>
  </sheetViews>
  <sheetFormatPr defaultRowHeight="14.25"/>
  <cols>
    <col min="1" max="1" width="13.875" style="6" customWidth="1"/>
    <col min="2" max="2" width="13.875" style="144" customWidth="1"/>
    <col min="3" max="3" width="13.875" style="6" customWidth="1"/>
    <col min="4" max="4" width="13.875" style="147" customWidth="1"/>
    <col min="5" max="5" width="13.875" style="145" customWidth="1"/>
    <col min="6" max="6" width="13.875" style="81" customWidth="1"/>
    <col min="7" max="7" width="13.875" style="144" customWidth="1"/>
    <col min="8" max="8" width="13.875" style="81" customWidth="1"/>
    <col min="9" max="18" width="13.875" customWidth="1"/>
  </cols>
  <sheetData>
    <row r="1" spans="1:18" s="90" customFormat="1" ht="15.75" thickBot="1">
      <c r="A1" s="86" t="s">
        <v>99</v>
      </c>
      <c r="B1" s="140" t="s">
        <v>100</v>
      </c>
      <c r="C1" s="86" t="s">
        <v>101</v>
      </c>
      <c r="D1" s="146" t="s">
        <v>102</v>
      </c>
      <c r="E1" s="140" t="s">
        <v>103</v>
      </c>
      <c r="F1" s="86" t="s">
        <v>105</v>
      </c>
      <c r="G1" s="140" t="s">
        <v>104</v>
      </c>
      <c r="H1" s="86" t="s">
        <v>162</v>
      </c>
      <c r="I1" s="87" t="s">
        <v>106</v>
      </c>
      <c r="J1" s="88"/>
      <c r="K1" s="88"/>
      <c r="L1" s="88"/>
      <c r="M1" s="88"/>
      <c r="N1" s="88"/>
      <c r="O1" s="88"/>
      <c r="P1" s="88"/>
      <c r="Q1" s="88"/>
      <c r="R1" s="89"/>
    </row>
    <row r="2" spans="1:18">
      <c r="A2" s="148">
        <v>1999</v>
      </c>
      <c r="B2" s="141">
        <v>6.4</v>
      </c>
      <c r="C2" s="118">
        <f>B2*40%</f>
        <v>2.5600000000000005</v>
      </c>
      <c r="D2" s="141">
        <v>6.4</v>
      </c>
      <c r="E2" s="149">
        <f>B2*44%</f>
        <v>2.8160000000000003</v>
      </c>
      <c r="F2" s="112">
        <v>0.56000000000000005</v>
      </c>
      <c r="G2" s="142">
        <f>B2-E2</f>
        <v>3.5840000000000001</v>
      </c>
      <c r="H2" s="118">
        <v>14</v>
      </c>
      <c r="I2" s="150"/>
      <c r="J2" s="65"/>
      <c r="K2" s="65"/>
      <c r="L2" s="65"/>
      <c r="M2" s="65"/>
      <c r="N2" s="65"/>
      <c r="O2" s="65"/>
      <c r="P2" s="65"/>
      <c r="Q2" s="65"/>
      <c r="R2" s="82"/>
    </row>
    <row r="3" spans="1:18">
      <c r="A3" s="151">
        <v>2004</v>
      </c>
      <c r="B3" s="141">
        <f>B2*130%</f>
        <v>8.32</v>
      </c>
      <c r="C3" s="118">
        <f>B3*40%</f>
        <v>3.3280000000000003</v>
      </c>
      <c r="D3" s="141">
        <f>D2*130%</f>
        <v>8.32</v>
      </c>
      <c r="E3" s="149">
        <f t="shared" ref="E3:E6" si="0">B3*44%</f>
        <v>3.6608000000000001</v>
      </c>
      <c r="F3" s="112">
        <v>0.56000000000000005</v>
      </c>
      <c r="G3" s="142">
        <f t="shared" ref="G3:G29" si="1">B3-E3</f>
        <v>4.6592000000000002</v>
      </c>
      <c r="H3" s="118">
        <v>17</v>
      </c>
      <c r="I3" s="150"/>
      <c r="J3" s="65"/>
      <c r="K3" s="65"/>
      <c r="L3" s="65"/>
      <c r="M3" s="65"/>
      <c r="N3" s="65"/>
      <c r="O3" s="65"/>
      <c r="P3" s="65"/>
      <c r="Q3" s="65"/>
      <c r="R3" s="82"/>
    </row>
    <row r="4" spans="1:18">
      <c r="A4" s="151">
        <v>2009</v>
      </c>
      <c r="B4" s="141">
        <f>B3*150%</f>
        <v>12.48</v>
      </c>
      <c r="C4" s="118">
        <f t="shared" ref="C4:C8" si="2">B4*40%</f>
        <v>4.9920000000000009</v>
      </c>
      <c r="D4" s="141">
        <f>D3*150%</f>
        <v>12.48</v>
      </c>
      <c r="E4" s="149">
        <f>B4*44%</f>
        <v>5.4912000000000001</v>
      </c>
      <c r="F4" s="112">
        <v>0.56000000000000005</v>
      </c>
      <c r="G4" s="142">
        <f t="shared" si="1"/>
        <v>6.9888000000000003</v>
      </c>
      <c r="H4" s="118">
        <v>26</v>
      </c>
      <c r="I4" s="150"/>
      <c r="J4" s="65"/>
      <c r="K4" s="65"/>
      <c r="L4" s="65"/>
      <c r="M4" s="65"/>
      <c r="N4" s="65"/>
      <c r="O4" s="65"/>
      <c r="P4" s="65"/>
      <c r="Q4" s="65"/>
      <c r="R4" s="82"/>
    </row>
    <row r="5" spans="1:18">
      <c r="A5" s="151">
        <v>2014</v>
      </c>
      <c r="B5" s="141">
        <f>B4*190%</f>
        <v>23.712</v>
      </c>
      <c r="C5" s="118">
        <f t="shared" si="2"/>
        <v>9.4847999999999999</v>
      </c>
      <c r="D5" s="141">
        <f>D4*190%</f>
        <v>23.712</v>
      </c>
      <c r="E5" s="149">
        <f t="shared" si="0"/>
        <v>10.43328</v>
      </c>
      <c r="F5" s="112">
        <v>0.56000000000000005</v>
      </c>
      <c r="G5" s="142">
        <f t="shared" si="1"/>
        <v>13.27872</v>
      </c>
      <c r="H5" s="118">
        <v>50</v>
      </c>
      <c r="I5" s="150"/>
      <c r="J5" s="65"/>
      <c r="K5" s="65"/>
      <c r="L5" s="65"/>
      <c r="M5" s="65"/>
      <c r="N5" s="65"/>
      <c r="O5" s="65"/>
      <c r="P5" s="65"/>
      <c r="Q5" s="65"/>
      <c r="R5" s="82"/>
    </row>
    <row r="6" spans="1:18">
      <c r="A6" s="151">
        <v>2019</v>
      </c>
      <c r="B6" s="141">
        <f>B5*600%</f>
        <v>142.27199999999999</v>
      </c>
      <c r="C6" s="118">
        <f t="shared" si="2"/>
        <v>56.908799999999999</v>
      </c>
      <c r="D6" s="141">
        <f>D5*600%</f>
        <v>142.27199999999999</v>
      </c>
      <c r="E6" s="149">
        <f t="shared" si="0"/>
        <v>62.599679999999999</v>
      </c>
      <c r="F6" s="112">
        <v>0.56000000000000005</v>
      </c>
      <c r="G6" s="142">
        <f t="shared" si="1"/>
        <v>79.672319999999985</v>
      </c>
      <c r="H6" s="118">
        <v>140</v>
      </c>
      <c r="I6" s="150"/>
      <c r="J6" s="65"/>
      <c r="K6" s="65"/>
      <c r="L6" s="65"/>
      <c r="M6" s="65"/>
      <c r="N6" s="65"/>
      <c r="O6" s="65"/>
      <c r="P6" s="65"/>
      <c r="Q6" s="65"/>
      <c r="R6" s="82"/>
    </row>
    <row r="7" spans="1:18">
      <c r="A7" s="151">
        <v>2024</v>
      </c>
      <c r="B7" s="141">
        <f>B6*300%</f>
        <v>426.81599999999997</v>
      </c>
      <c r="C7" s="118">
        <f t="shared" si="2"/>
        <v>170.72640000000001</v>
      </c>
      <c r="D7" s="152">
        <f>H7*1424016</f>
        <v>421508736</v>
      </c>
      <c r="E7" s="149">
        <f>B7*82%</f>
        <v>349.98911999999996</v>
      </c>
      <c r="F7" s="112">
        <v>0.18</v>
      </c>
      <c r="G7" s="142">
        <f t="shared" si="1"/>
        <v>76.826880000000017</v>
      </c>
      <c r="H7" s="118">
        <v>296</v>
      </c>
      <c r="I7" s="150"/>
      <c r="J7" s="65"/>
      <c r="K7" s="65"/>
      <c r="L7" s="65"/>
      <c r="M7" s="65"/>
      <c r="N7" s="65"/>
      <c r="O7" s="65"/>
      <c r="P7" s="65"/>
      <c r="Q7" s="65"/>
      <c r="R7" s="82"/>
    </row>
    <row r="8" spans="1:18">
      <c r="A8" s="151">
        <v>2025</v>
      </c>
      <c r="B8" s="141">
        <f>B7*130%</f>
        <v>554.86080000000004</v>
      </c>
      <c r="C8" s="118">
        <f t="shared" si="2"/>
        <v>221.94432000000003</v>
      </c>
      <c r="D8" s="152">
        <f>H8*1424016</f>
        <v>498405600</v>
      </c>
      <c r="E8" s="149">
        <f>B8*82%</f>
        <v>454.98585600000001</v>
      </c>
      <c r="F8" s="112">
        <v>0.18</v>
      </c>
      <c r="G8" s="142">
        <f t="shared" si="1"/>
        <v>99.874944000000028</v>
      </c>
      <c r="H8" s="118">
        <v>350</v>
      </c>
      <c r="I8" s="150"/>
      <c r="J8" s="65"/>
      <c r="K8" s="65"/>
      <c r="L8" s="65"/>
      <c r="M8" s="65"/>
      <c r="N8" s="65"/>
      <c r="O8" s="65"/>
      <c r="P8" s="65"/>
      <c r="Q8" s="65"/>
      <c r="R8" s="82"/>
    </row>
    <row r="9" spans="1:18">
      <c r="A9" s="151">
        <v>2026</v>
      </c>
      <c r="B9" s="142">
        <v>612</v>
      </c>
      <c r="C9" s="118"/>
      <c r="D9" s="153"/>
      <c r="E9" s="154">
        <f>B9*77%</f>
        <v>471.24</v>
      </c>
      <c r="F9" s="137">
        <v>0.23</v>
      </c>
      <c r="G9" s="142">
        <f t="shared" si="1"/>
        <v>140.76</v>
      </c>
      <c r="H9" s="118">
        <v>350</v>
      </c>
      <c r="I9" s="150"/>
      <c r="J9" s="65"/>
      <c r="K9" s="65"/>
      <c r="L9" s="65"/>
      <c r="M9" s="65"/>
      <c r="N9" s="65"/>
      <c r="O9" s="65"/>
      <c r="P9" s="65"/>
      <c r="Q9" s="65"/>
      <c r="R9" s="82"/>
    </row>
    <row r="10" spans="1:18">
      <c r="A10" s="151">
        <v>2027</v>
      </c>
      <c r="B10" s="142">
        <v>617</v>
      </c>
      <c r="C10" s="118"/>
      <c r="D10" s="153"/>
      <c r="E10" s="154">
        <f t="shared" ref="E10:E29" si="3">B10*77%</f>
        <v>475.09000000000003</v>
      </c>
      <c r="F10" s="137">
        <v>0.23</v>
      </c>
      <c r="G10" s="142">
        <f t="shared" si="1"/>
        <v>141.90999999999997</v>
      </c>
      <c r="H10" s="118">
        <v>350</v>
      </c>
      <c r="I10" s="150"/>
      <c r="J10" s="65"/>
      <c r="K10" s="65"/>
      <c r="L10" s="65"/>
      <c r="M10" s="65"/>
      <c r="N10" s="65"/>
      <c r="O10" s="65"/>
      <c r="P10" s="65"/>
      <c r="Q10" s="65"/>
      <c r="R10" s="82"/>
    </row>
    <row r="11" spans="1:18">
      <c r="A11" s="151">
        <v>2028</v>
      </c>
      <c r="B11" s="142">
        <v>690</v>
      </c>
      <c r="C11" s="118"/>
      <c r="D11" s="153"/>
      <c r="E11" s="154">
        <f t="shared" si="3"/>
        <v>531.30000000000007</v>
      </c>
      <c r="F11" s="137">
        <v>0.23</v>
      </c>
      <c r="G11" s="142">
        <f t="shared" si="1"/>
        <v>158.69999999999993</v>
      </c>
      <c r="H11" s="118">
        <v>700</v>
      </c>
      <c r="I11" s="150"/>
      <c r="J11" s="65"/>
      <c r="K11" s="65"/>
      <c r="L11" s="65"/>
      <c r="M11" s="65"/>
      <c r="N11" s="65"/>
      <c r="O11" s="65"/>
      <c r="P11" s="65"/>
      <c r="Q11" s="65"/>
      <c r="R11" s="82"/>
    </row>
    <row r="12" spans="1:18">
      <c r="A12" s="151">
        <v>2029</v>
      </c>
      <c r="B12" s="142">
        <v>710</v>
      </c>
      <c r="C12" s="118"/>
      <c r="D12" s="153"/>
      <c r="E12" s="154">
        <f t="shared" si="3"/>
        <v>546.70000000000005</v>
      </c>
      <c r="F12" s="137">
        <v>0.23</v>
      </c>
      <c r="G12" s="142">
        <f t="shared" si="1"/>
        <v>163.29999999999995</v>
      </c>
      <c r="H12" s="118">
        <v>700</v>
      </c>
      <c r="I12" s="150"/>
      <c r="J12" s="65"/>
      <c r="K12" s="65"/>
      <c r="L12" s="65"/>
      <c r="M12" s="65"/>
      <c r="N12" s="65"/>
      <c r="O12" s="65"/>
      <c r="P12" s="65"/>
      <c r="Q12" s="65"/>
      <c r="R12" s="82"/>
    </row>
    <row r="13" spans="1:18">
      <c r="A13" s="151">
        <v>2030</v>
      </c>
      <c r="B13" s="142">
        <v>725</v>
      </c>
      <c r="C13" s="118"/>
      <c r="D13" s="153"/>
      <c r="E13" s="154">
        <f t="shared" si="3"/>
        <v>558.25</v>
      </c>
      <c r="F13" s="137">
        <v>0.23</v>
      </c>
      <c r="G13" s="142">
        <f t="shared" si="1"/>
        <v>166.75</v>
      </c>
      <c r="H13" s="118">
        <v>700</v>
      </c>
      <c r="I13" s="150"/>
      <c r="J13" s="65"/>
      <c r="K13" s="65"/>
      <c r="L13" s="65"/>
      <c r="M13" s="65"/>
      <c r="N13" s="65"/>
      <c r="O13" s="65"/>
      <c r="P13" s="65"/>
      <c r="Q13" s="65"/>
      <c r="R13" s="82"/>
    </row>
    <row r="14" spans="1:18">
      <c r="A14" s="151">
        <v>2031</v>
      </c>
      <c r="B14" s="142">
        <v>770</v>
      </c>
      <c r="C14" s="118"/>
      <c r="D14" s="153"/>
      <c r="E14" s="154">
        <f t="shared" si="3"/>
        <v>592.9</v>
      </c>
      <c r="F14" s="137">
        <v>0.23</v>
      </c>
      <c r="G14" s="142">
        <f t="shared" si="1"/>
        <v>177.10000000000002</v>
      </c>
      <c r="H14" s="118">
        <v>700</v>
      </c>
      <c r="I14" s="150"/>
      <c r="J14" s="65"/>
      <c r="K14" s="65"/>
      <c r="L14" s="65"/>
      <c r="M14" s="65"/>
      <c r="N14" s="65"/>
      <c r="O14" s="65"/>
      <c r="P14" s="65"/>
      <c r="Q14" s="65"/>
      <c r="R14" s="82"/>
    </row>
    <row r="15" spans="1:18">
      <c r="A15" s="151">
        <v>2032</v>
      </c>
      <c r="B15" s="142">
        <v>800</v>
      </c>
      <c r="C15" s="118"/>
      <c r="D15" s="153"/>
      <c r="E15" s="154">
        <f t="shared" si="3"/>
        <v>616</v>
      </c>
      <c r="F15" s="137">
        <v>0.23</v>
      </c>
      <c r="G15" s="142">
        <f t="shared" si="1"/>
        <v>184</v>
      </c>
      <c r="H15" s="118">
        <v>700</v>
      </c>
      <c r="I15" s="150"/>
      <c r="J15" s="65"/>
      <c r="K15" s="65"/>
      <c r="L15" s="65"/>
      <c r="M15" s="65"/>
      <c r="N15" s="65"/>
      <c r="O15" s="65"/>
      <c r="P15" s="65"/>
      <c r="Q15" s="65"/>
      <c r="R15" s="82"/>
    </row>
    <row r="16" spans="1:18">
      <c r="A16" s="151">
        <v>2033</v>
      </c>
      <c r="B16" s="142">
        <v>900</v>
      </c>
      <c r="C16" s="118"/>
      <c r="D16" s="153"/>
      <c r="E16" s="154">
        <f t="shared" si="3"/>
        <v>693</v>
      </c>
      <c r="F16" s="137">
        <v>0.23</v>
      </c>
      <c r="G16" s="142">
        <f t="shared" si="1"/>
        <v>207</v>
      </c>
      <c r="H16" s="118">
        <v>700</v>
      </c>
      <c r="I16" s="150"/>
      <c r="J16" s="65"/>
      <c r="K16" s="65"/>
      <c r="L16" s="65"/>
      <c r="M16" s="65"/>
      <c r="N16" s="65"/>
      <c r="O16" s="65"/>
      <c r="P16" s="65"/>
      <c r="Q16" s="65"/>
      <c r="R16" s="82"/>
    </row>
    <row r="17" spans="1:18">
      <c r="A17" s="151">
        <v>2034</v>
      </c>
      <c r="B17" s="142">
        <v>1100</v>
      </c>
      <c r="C17" s="118"/>
      <c r="D17" s="153"/>
      <c r="E17" s="154">
        <f t="shared" si="3"/>
        <v>847</v>
      </c>
      <c r="F17" s="137">
        <v>0.23</v>
      </c>
      <c r="G17" s="142">
        <f t="shared" si="1"/>
        <v>253</v>
      </c>
      <c r="H17" s="118">
        <v>700</v>
      </c>
      <c r="I17" s="150"/>
      <c r="J17" s="65"/>
      <c r="K17" s="65"/>
      <c r="L17" s="65"/>
      <c r="M17" s="65"/>
      <c r="N17" s="65"/>
      <c r="O17" s="65"/>
      <c r="P17" s="65"/>
      <c r="Q17" s="65"/>
      <c r="R17" s="82"/>
    </row>
    <row r="18" spans="1:18">
      <c r="A18" s="151">
        <v>2035</v>
      </c>
      <c r="B18" s="142">
        <v>1210</v>
      </c>
      <c r="C18" s="118"/>
      <c r="D18" s="153"/>
      <c r="E18" s="154">
        <f t="shared" si="3"/>
        <v>931.7</v>
      </c>
      <c r="F18" s="137">
        <v>0.23</v>
      </c>
      <c r="G18" s="142">
        <f t="shared" si="1"/>
        <v>278.29999999999995</v>
      </c>
      <c r="H18" s="118">
        <v>700</v>
      </c>
      <c r="I18" s="150"/>
      <c r="J18" s="65"/>
      <c r="K18" s="65"/>
      <c r="L18" s="65"/>
      <c r="M18" s="65"/>
      <c r="N18" s="65"/>
      <c r="O18" s="65"/>
      <c r="P18" s="65"/>
      <c r="Q18" s="65"/>
      <c r="R18" s="82"/>
    </row>
    <row r="19" spans="1:18">
      <c r="A19" s="151">
        <v>2036</v>
      </c>
      <c r="B19" s="142">
        <v>1213</v>
      </c>
      <c r="C19" s="118"/>
      <c r="D19" s="153"/>
      <c r="E19" s="154">
        <f t="shared" si="3"/>
        <v>934.01</v>
      </c>
      <c r="F19" s="137">
        <v>0.23</v>
      </c>
      <c r="G19" s="142">
        <f t="shared" si="1"/>
        <v>278.99</v>
      </c>
      <c r="H19" s="118">
        <v>700</v>
      </c>
      <c r="I19" s="150"/>
      <c r="J19" s="65"/>
      <c r="K19" s="65"/>
      <c r="L19" s="65"/>
      <c r="M19" s="65"/>
      <c r="N19" s="65"/>
      <c r="O19" s="65"/>
      <c r="P19" s="65"/>
      <c r="Q19" s="65"/>
      <c r="R19" s="82"/>
    </row>
    <row r="20" spans="1:18">
      <c r="A20" s="151">
        <v>2037</v>
      </c>
      <c r="B20" s="142">
        <v>1300</v>
      </c>
      <c r="C20" s="118"/>
      <c r="D20" s="153"/>
      <c r="E20" s="154">
        <f t="shared" si="3"/>
        <v>1001</v>
      </c>
      <c r="F20" s="137">
        <v>0.23</v>
      </c>
      <c r="G20" s="142">
        <f t="shared" si="1"/>
        <v>299</v>
      </c>
      <c r="H20" s="118">
        <v>700</v>
      </c>
      <c r="I20" s="150"/>
      <c r="J20" s="65"/>
      <c r="K20" s="65"/>
      <c r="L20" s="65"/>
      <c r="M20" s="65"/>
      <c r="N20" s="65"/>
      <c r="O20" s="65"/>
      <c r="P20" s="65"/>
      <c r="Q20" s="65"/>
      <c r="R20" s="82"/>
    </row>
    <row r="21" spans="1:18">
      <c r="A21" s="151">
        <v>2038</v>
      </c>
      <c r="B21" s="142">
        <v>1400</v>
      </c>
      <c r="C21" s="118"/>
      <c r="D21" s="153"/>
      <c r="E21" s="154">
        <f t="shared" si="3"/>
        <v>1078</v>
      </c>
      <c r="F21" s="137">
        <v>0.23</v>
      </c>
      <c r="G21" s="142">
        <f t="shared" si="1"/>
        <v>322</v>
      </c>
      <c r="H21" s="118">
        <v>700</v>
      </c>
      <c r="I21" s="150"/>
      <c r="J21" s="65"/>
      <c r="K21" s="65"/>
      <c r="L21" s="65"/>
      <c r="M21" s="65"/>
      <c r="N21" s="65"/>
      <c r="O21" s="65"/>
      <c r="P21" s="65"/>
      <c r="Q21" s="65"/>
      <c r="R21" s="82"/>
    </row>
    <row r="22" spans="1:18">
      <c r="A22" s="151">
        <v>2039</v>
      </c>
      <c r="B22" s="142">
        <v>1500</v>
      </c>
      <c r="C22" s="118"/>
      <c r="D22" s="153"/>
      <c r="E22" s="154">
        <f t="shared" si="3"/>
        <v>1155</v>
      </c>
      <c r="F22" s="137">
        <v>0.23</v>
      </c>
      <c r="G22" s="142">
        <f t="shared" si="1"/>
        <v>345</v>
      </c>
      <c r="H22" s="118">
        <v>700</v>
      </c>
      <c r="I22" s="150"/>
      <c r="J22" s="65"/>
      <c r="K22" s="65"/>
      <c r="L22" s="65"/>
      <c r="M22" s="65"/>
      <c r="N22" s="65"/>
      <c r="O22" s="65"/>
      <c r="P22" s="65"/>
      <c r="Q22" s="65"/>
      <c r="R22" s="82"/>
    </row>
    <row r="23" spans="1:18">
      <c r="A23" s="151">
        <v>2040</v>
      </c>
      <c r="B23" s="142">
        <v>1550</v>
      </c>
      <c r="C23" s="118"/>
      <c r="D23" s="153"/>
      <c r="E23" s="154">
        <f t="shared" si="3"/>
        <v>1193.5</v>
      </c>
      <c r="F23" s="137">
        <v>0.23</v>
      </c>
      <c r="G23" s="142">
        <f t="shared" si="1"/>
        <v>356.5</v>
      </c>
      <c r="H23" s="118">
        <v>700</v>
      </c>
      <c r="I23" s="150"/>
      <c r="J23" s="65"/>
      <c r="K23" s="65"/>
      <c r="L23" s="65"/>
      <c r="M23" s="65"/>
      <c r="N23" s="65"/>
      <c r="O23" s="65"/>
      <c r="P23" s="65"/>
      <c r="Q23" s="65"/>
      <c r="R23" s="82"/>
    </row>
    <row r="24" spans="1:18">
      <c r="A24" s="151">
        <v>2041</v>
      </c>
      <c r="B24" s="142">
        <v>1600</v>
      </c>
      <c r="C24" s="118"/>
      <c r="D24" s="153"/>
      <c r="E24" s="154">
        <f t="shared" si="3"/>
        <v>1232</v>
      </c>
      <c r="F24" s="137">
        <v>0.23</v>
      </c>
      <c r="G24" s="142">
        <f t="shared" si="1"/>
        <v>368</v>
      </c>
      <c r="H24" s="118">
        <v>700</v>
      </c>
      <c r="I24" s="150"/>
      <c r="J24" s="65"/>
      <c r="K24" s="65"/>
      <c r="L24" s="65"/>
      <c r="M24" s="65"/>
      <c r="N24" s="65"/>
      <c r="O24" s="65"/>
      <c r="P24" s="65"/>
      <c r="Q24" s="65"/>
      <c r="R24" s="82"/>
    </row>
    <row r="25" spans="1:18">
      <c r="A25" s="151">
        <v>2042</v>
      </c>
      <c r="B25" s="142">
        <v>1700</v>
      </c>
      <c r="C25" s="118"/>
      <c r="D25" s="153"/>
      <c r="E25" s="154">
        <f t="shared" si="3"/>
        <v>1309</v>
      </c>
      <c r="F25" s="137">
        <v>0.23</v>
      </c>
      <c r="G25" s="142">
        <f t="shared" si="1"/>
        <v>391</v>
      </c>
      <c r="H25" s="118">
        <v>700</v>
      </c>
      <c r="I25" s="150"/>
      <c r="J25" s="65"/>
      <c r="K25" s="65"/>
      <c r="L25" s="65"/>
      <c r="M25" s="65"/>
      <c r="N25" s="65"/>
      <c r="O25" s="65"/>
      <c r="P25" s="65"/>
      <c r="Q25" s="65"/>
      <c r="R25" s="82"/>
    </row>
    <row r="26" spans="1:18">
      <c r="A26" s="151">
        <v>2043</v>
      </c>
      <c r="B26" s="142">
        <v>1800</v>
      </c>
      <c r="C26" s="118"/>
      <c r="D26" s="153"/>
      <c r="E26" s="154">
        <f t="shared" si="3"/>
        <v>1386</v>
      </c>
      <c r="F26" s="137">
        <v>0.23</v>
      </c>
      <c r="G26" s="142">
        <f t="shared" si="1"/>
        <v>414</v>
      </c>
      <c r="H26" s="118">
        <v>700</v>
      </c>
      <c r="I26" s="150"/>
      <c r="J26" s="65"/>
      <c r="K26" s="65"/>
      <c r="L26" s="65"/>
      <c r="M26" s="65"/>
      <c r="N26" s="65"/>
      <c r="O26" s="65"/>
      <c r="P26" s="65"/>
      <c r="Q26" s="65"/>
      <c r="R26" s="82"/>
    </row>
    <row r="27" spans="1:18">
      <c r="A27" s="151">
        <v>2044</v>
      </c>
      <c r="B27" s="142">
        <v>1900</v>
      </c>
      <c r="C27" s="118"/>
      <c r="D27" s="153"/>
      <c r="E27" s="154">
        <f t="shared" si="3"/>
        <v>1463</v>
      </c>
      <c r="F27" s="137">
        <v>0.23</v>
      </c>
      <c r="G27" s="142">
        <f t="shared" si="1"/>
        <v>437</v>
      </c>
      <c r="H27" s="118">
        <v>700</v>
      </c>
      <c r="I27" s="150"/>
      <c r="J27" s="65"/>
      <c r="K27" s="65"/>
      <c r="L27" s="65"/>
      <c r="M27" s="65"/>
      <c r="N27" s="65"/>
      <c r="O27" s="65"/>
      <c r="P27" s="65"/>
      <c r="Q27" s="65"/>
      <c r="R27" s="82"/>
    </row>
    <row r="28" spans="1:18">
      <c r="A28" s="151">
        <v>2045</v>
      </c>
      <c r="B28" s="142">
        <v>2010</v>
      </c>
      <c r="C28" s="118"/>
      <c r="D28" s="153"/>
      <c r="E28" s="154">
        <f t="shared" si="3"/>
        <v>1547.7</v>
      </c>
      <c r="F28" s="137">
        <v>0.23</v>
      </c>
      <c r="G28" s="142">
        <f t="shared" si="1"/>
        <v>462.29999999999995</v>
      </c>
      <c r="H28" s="118">
        <v>700</v>
      </c>
      <c r="I28" s="150"/>
      <c r="J28" s="65"/>
      <c r="K28" s="65"/>
      <c r="L28" s="65"/>
      <c r="M28" s="65"/>
      <c r="N28" s="65"/>
      <c r="O28" s="65"/>
      <c r="P28" s="65"/>
      <c r="Q28" s="65"/>
      <c r="R28" s="82"/>
    </row>
    <row r="29" spans="1:18" ht="15" thickBot="1">
      <c r="A29" s="118">
        <v>2046</v>
      </c>
      <c r="B29" s="142">
        <v>2025</v>
      </c>
      <c r="C29" s="118"/>
      <c r="D29" s="153"/>
      <c r="E29" s="154">
        <f t="shared" si="3"/>
        <v>1559.25</v>
      </c>
      <c r="F29" s="137">
        <v>0.23</v>
      </c>
      <c r="G29" s="142">
        <f t="shared" si="1"/>
        <v>465.75</v>
      </c>
      <c r="H29" s="118">
        <v>700</v>
      </c>
      <c r="I29" s="155"/>
      <c r="J29" s="84"/>
      <c r="K29" s="84"/>
      <c r="L29" s="84"/>
      <c r="M29" s="84"/>
      <c r="N29" s="84"/>
      <c r="O29" s="84"/>
      <c r="P29" s="84"/>
      <c r="Q29" s="84"/>
      <c r="R29" s="85"/>
    </row>
    <row r="30" spans="1:18">
      <c r="A30" s="119" t="s">
        <v>159</v>
      </c>
      <c r="B30" s="143"/>
      <c r="C30" s="81"/>
      <c r="D30" s="156"/>
      <c r="E30" s="157"/>
      <c r="I30" s="80"/>
    </row>
    <row r="31" spans="1:18">
      <c r="A31" s="119" t="s">
        <v>160</v>
      </c>
      <c r="B31" s="143"/>
      <c r="C31" s="81"/>
      <c r="D31" s="156"/>
      <c r="E31" s="157"/>
      <c r="I31" s="80"/>
    </row>
    <row r="32" spans="1:18">
      <c r="A32" s="119" t="s">
        <v>161</v>
      </c>
      <c r="B32" s="143"/>
      <c r="C32" s="81"/>
      <c r="D32" s="156"/>
      <c r="E32" s="157"/>
      <c r="I32" s="80"/>
    </row>
    <row r="33" spans="1:9">
      <c r="A33" s="119" t="s">
        <v>139</v>
      </c>
      <c r="B33" s="143"/>
      <c r="C33" s="81"/>
      <c r="D33" s="156"/>
      <c r="E33" s="157"/>
      <c r="I33" s="80"/>
    </row>
    <row r="34" spans="1:9">
      <c r="A34" s="119" t="s">
        <v>140</v>
      </c>
      <c r="B34" s="143"/>
      <c r="C34" s="81"/>
      <c r="D34" s="156"/>
      <c r="E34" s="157"/>
      <c r="I34" s="80"/>
    </row>
    <row r="35" spans="1:9">
      <c r="B35" s="143"/>
    </row>
    <row r="36" spans="1:9">
      <c r="B36" s="143"/>
    </row>
    <row r="37" spans="1:9">
      <c r="B37" s="143"/>
    </row>
    <row r="38" spans="1:9">
      <c r="B38" s="143"/>
    </row>
  </sheetData>
  <pageMargins left="0.7" right="0.7" top="0.75" bottom="0.75" header="0.3" footer="0.3"/>
  <pageSetup orientation="portrait" r:id="rId1"/>
  <ignoredErrors>
    <ignoredError sqref="C3:C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F328-8E08-49BB-8DE9-43E30FE0D4D7}">
  <dimension ref="A1:H40"/>
  <sheetViews>
    <sheetView tabSelected="1" zoomScale="115" workbookViewId="0">
      <selection activeCell="B31" sqref="B31"/>
    </sheetView>
  </sheetViews>
  <sheetFormatPr defaultRowHeight="14.25"/>
  <cols>
    <col min="1" max="1" width="31.25" customWidth="1"/>
    <col min="2" max="2" width="26.375" customWidth="1"/>
    <col min="3" max="3" width="15.375" customWidth="1"/>
    <col min="4" max="4" width="22.625" customWidth="1"/>
    <col min="5" max="5" width="34.75" customWidth="1"/>
    <col min="6" max="6" width="17.5" customWidth="1"/>
    <col min="7" max="7" width="18.125" customWidth="1"/>
    <col min="8" max="8" width="14" style="4" customWidth="1"/>
    <col min="10" max="10" width="14.25" customWidth="1"/>
    <col min="11" max="11" width="21.875" customWidth="1"/>
    <col min="12" max="12" width="19.375" customWidth="1"/>
  </cols>
  <sheetData>
    <row r="1" spans="1:8" s="62" customFormat="1" ht="15">
      <c r="A1" s="172"/>
      <c r="B1" s="173"/>
      <c r="D1" s="92" t="s">
        <v>111</v>
      </c>
      <c r="E1" s="94" t="s">
        <v>136</v>
      </c>
      <c r="F1" s="127"/>
    </row>
    <row r="2" spans="1:8">
      <c r="B2" s="4"/>
      <c r="D2" s="128" t="s">
        <v>128</v>
      </c>
      <c r="E2" s="129">
        <v>0.19</v>
      </c>
      <c r="F2" s="80"/>
      <c r="H2"/>
    </row>
    <row r="3" spans="1:8">
      <c r="B3" s="4"/>
      <c r="D3" s="128" t="s">
        <v>130</v>
      </c>
      <c r="E3" s="129">
        <v>0.17</v>
      </c>
      <c r="F3" s="80"/>
      <c r="H3"/>
    </row>
    <row r="4" spans="1:8">
      <c r="B4" s="4"/>
      <c r="D4" s="128" t="s">
        <v>132</v>
      </c>
      <c r="E4" s="129">
        <v>0.08</v>
      </c>
      <c r="F4" s="80"/>
      <c r="H4"/>
    </row>
    <row r="5" spans="1:8" ht="15" thickBot="1">
      <c r="B5" s="4"/>
      <c r="D5" s="130" t="s">
        <v>134</v>
      </c>
      <c r="E5" s="131">
        <v>0.67</v>
      </c>
      <c r="F5" s="80"/>
      <c r="H5"/>
    </row>
    <row r="6" spans="1:8" ht="15" thickBot="1">
      <c r="B6" s="4"/>
      <c r="D6" s="80"/>
      <c r="E6" s="80"/>
      <c r="F6" s="80"/>
      <c r="H6"/>
    </row>
    <row r="7" spans="1:8">
      <c r="B7" s="4"/>
      <c r="D7" s="121" t="s">
        <v>111</v>
      </c>
      <c r="E7" s="122" t="s">
        <v>141</v>
      </c>
      <c r="F7" s="123" t="s">
        <v>136</v>
      </c>
      <c r="G7" s="120"/>
      <c r="H7"/>
    </row>
    <row r="8" spans="1:8">
      <c r="B8" s="4"/>
      <c r="D8" s="128" t="s">
        <v>142</v>
      </c>
      <c r="E8" s="118" t="s">
        <v>143</v>
      </c>
      <c r="F8" s="132">
        <v>600</v>
      </c>
      <c r="H8"/>
    </row>
    <row r="9" spans="1:8">
      <c r="B9" s="4"/>
      <c r="D9" s="128" t="s">
        <v>147</v>
      </c>
      <c r="E9" s="118" t="s">
        <v>137</v>
      </c>
      <c r="F9" s="132">
        <v>800</v>
      </c>
      <c r="H9"/>
    </row>
    <row r="10" spans="1:8">
      <c r="B10" s="4"/>
      <c r="D10" s="128" t="s">
        <v>144</v>
      </c>
      <c r="E10" s="118" t="s">
        <v>138</v>
      </c>
      <c r="F10" s="132">
        <v>900</v>
      </c>
      <c r="H10"/>
    </row>
    <row r="11" spans="1:8" ht="15.75" thickBot="1">
      <c r="A11" s="174"/>
      <c r="B11" s="175"/>
      <c r="D11" s="130" t="s">
        <v>145</v>
      </c>
      <c r="E11" s="124" t="s">
        <v>146</v>
      </c>
      <c r="F11" s="133">
        <v>1100</v>
      </c>
      <c r="H11"/>
    </row>
    <row r="12" spans="1:8" ht="15" thickBot="1">
      <c r="B12" s="4"/>
      <c r="D12" s="80"/>
      <c r="E12" s="80"/>
      <c r="F12" s="80"/>
      <c r="H12"/>
    </row>
    <row r="13" spans="1:8" ht="15">
      <c r="A13" s="115" t="s">
        <v>127</v>
      </c>
      <c r="B13" s="116" t="s">
        <v>100</v>
      </c>
      <c r="D13" s="92" t="s">
        <v>150</v>
      </c>
      <c r="E13" s="93" t="s">
        <v>148</v>
      </c>
      <c r="F13" s="94" t="s">
        <v>149</v>
      </c>
      <c r="H13"/>
    </row>
    <row r="14" spans="1:8">
      <c r="A14" s="95" t="s">
        <v>128</v>
      </c>
      <c r="B14" s="117" t="s">
        <v>129</v>
      </c>
      <c r="C14" s="4"/>
      <c r="D14" s="128">
        <v>2023</v>
      </c>
      <c r="E14" s="134" t="s">
        <v>151</v>
      </c>
      <c r="F14" s="132" t="s">
        <v>152</v>
      </c>
      <c r="H14"/>
    </row>
    <row r="15" spans="1:8">
      <c r="A15" s="95" t="s">
        <v>130</v>
      </c>
      <c r="B15" s="108" t="s">
        <v>131</v>
      </c>
      <c r="D15" s="128">
        <v>2024</v>
      </c>
      <c r="E15" s="134" t="s">
        <v>153</v>
      </c>
      <c r="F15" s="132" t="s">
        <v>154</v>
      </c>
      <c r="H15"/>
    </row>
    <row r="16" spans="1:8">
      <c r="A16" s="95" t="s">
        <v>132</v>
      </c>
      <c r="B16" s="108" t="s">
        <v>133</v>
      </c>
      <c r="D16" s="128">
        <v>2025</v>
      </c>
      <c r="E16" s="134" t="s">
        <v>155</v>
      </c>
      <c r="F16" s="132" t="s">
        <v>156</v>
      </c>
      <c r="H16"/>
    </row>
    <row r="17" spans="1:8" ht="15" thickBot="1">
      <c r="A17" s="113" t="s">
        <v>134</v>
      </c>
      <c r="B17" s="114" t="s">
        <v>135</v>
      </c>
      <c r="D17" s="130">
        <v>2026</v>
      </c>
      <c r="E17" s="135" t="s">
        <v>157</v>
      </c>
      <c r="F17" s="136" t="s">
        <v>158</v>
      </c>
      <c r="H17"/>
    </row>
    <row r="18" spans="1:8">
      <c r="B18" s="4"/>
      <c r="H18"/>
    </row>
    <row r="19" spans="1:8" ht="15">
      <c r="B19" s="4"/>
      <c r="D19" s="125"/>
      <c r="E19" s="126"/>
      <c r="F19" s="125"/>
      <c r="H19"/>
    </row>
    <row r="20" spans="1:8">
      <c r="B20" s="4"/>
      <c r="H20"/>
    </row>
    <row r="21" spans="1:8">
      <c r="B21" s="4"/>
      <c r="H21"/>
    </row>
    <row r="22" spans="1:8">
      <c r="B22" s="4"/>
      <c r="H22"/>
    </row>
    <row r="23" spans="1:8">
      <c r="B23" s="4"/>
      <c r="H23"/>
    </row>
    <row r="24" spans="1:8">
      <c r="B24" s="4"/>
      <c r="H24"/>
    </row>
    <row r="25" spans="1:8">
      <c r="B25" s="4"/>
      <c r="H25"/>
    </row>
    <row r="26" spans="1:8">
      <c r="B26" s="4"/>
      <c r="H26"/>
    </row>
    <row r="27" spans="1:8">
      <c r="B27" s="4"/>
      <c r="H27"/>
    </row>
    <row r="29" spans="1:8" ht="15" thickBot="1"/>
    <row r="30" spans="1:8" ht="15">
      <c r="A30" s="92" t="s">
        <v>119</v>
      </c>
      <c r="B30" s="93" t="s">
        <v>112</v>
      </c>
      <c r="C30" s="93" t="s">
        <v>113</v>
      </c>
      <c r="D30" s="94" t="s">
        <v>114</v>
      </c>
      <c r="F30" s="105"/>
      <c r="G30" s="92" t="s">
        <v>125</v>
      </c>
      <c r="H30" s="109" t="s">
        <v>126</v>
      </c>
    </row>
    <row r="31" spans="1:8" ht="15.75">
      <c r="A31" s="103" t="s">
        <v>115</v>
      </c>
      <c r="B31" s="96">
        <v>966</v>
      </c>
      <c r="C31" s="97">
        <v>41034</v>
      </c>
      <c r="D31" s="98">
        <v>28140</v>
      </c>
      <c r="E31" s="104" t="s">
        <v>120</v>
      </c>
      <c r="F31" s="105"/>
      <c r="G31" s="103" t="s">
        <v>115</v>
      </c>
      <c r="H31" s="110">
        <v>0.96</v>
      </c>
    </row>
    <row r="32" spans="1:8" ht="15.75">
      <c r="A32" s="103" t="s">
        <v>116</v>
      </c>
      <c r="B32" s="96">
        <v>899</v>
      </c>
      <c r="C32" s="97">
        <v>41101</v>
      </c>
      <c r="D32" s="98">
        <v>27542</v>
      </c>
      <c r="E32" s="104" t="s">
        <v>121</v>
      </c>
      <c r="F32" s="105"/>
      <c r="G32" s="103" t="s">
        <v>116</v>
      </c>
      <c r="H32" s="110">
        <v>0.91</v>
      </c>
    </row>
    <row r="33" spans="1:8" ht="15.75">
      <c r="A33" s="103" t="s">
        <v>117</v>
      </c>
      <c r="B33" s="96">
        <v>875</v>
      </c>
      <c r="C33" s="97">
        <v>41125</v>
      </c>
      <c r="D33" s="98">
        <v>28000</v>
      </c>
      <c r="E33" s="104" t="s">
        <v>122</v>
      </c>
      <c r="F33" s="105"/>
      <c r="G33" s="103" t="s">
        <v>117</v>
      </c>
      <c r="H33" s="110">
        <v>0.92</v>
      </c>
    </row>
    <row r="34" spans="1:8" ht="15.75">
      <c r="A34" s="103" t="s">
        <v>118</v>
      </c>
      <c r="B34" s="96">
        <v>952</v>
      </c>
      <c r="C34" s="97">
        <v>41048</v>
      </c>
      <c r="D34" s="98">
        <v>27952</v>
      </c>
      <c r="E34" s="104" t="s">
        <v>123</v>
      </c>
      <c r="F34" s="105"/>
      <c r="G34" s="103" t="s">
        <v>118</v>
      </c>
      <c r="H34" s="110">
        <v>0.94</v>
      </c>
    </row>
    <row r="35" spans="1:8" ht="15.75">
      <c r="A35" s="1"/>
      <c r="D35" s="2"/>
      <c r="E35" s="104" t="s">
        <v>124</v>
      </c>
      <c r="F35" s="105"/>
      <c r="G35" s="1"/>
      <c r="H35" s="107"/>
    </row>
    <row r="36" spans="1:8" ht="15.75" thickBot="1">
      <c r="A36" s="99"/>
      <c r="B36" s="100">
        <f>SUM(B31:B35)</f>
        <v>3692</v>
      </c>
      <c r="C36" s="101">
        <f>SUM(C31:C35)</f>
        <v>164308</v>
      </c>
      <c r="D36" s="102">
        <f>SUM(D31:D35)</f>
        <v>111634</v>
      </c>
      <c r="E36" s="106"/>
      <c r="F36" s="105"/>
      <c r="G36" s="83"/>
      <c r="H36" s="111"/>
    </row>
    <row r="37" spans="1:8">
      <c r="F37" s="105"/>
    </row>
    <row r="38" spans="1:8">
      <c r="F38" s="105"/>
    </row>
    <row r="39" spans="1:8">
      <c r="F39" s="106"/>
    </row>
    <row r="40" spans="1:8" ht="75.75" customHeight="1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00F-32CA-4489-8F39-DE12C49D4CDF}">
  <dimension ref="A1:X11"/>
  <sheetViews>
    <sheetView zoomScale="132" workbookViewId="0">
      <selection activeCell="J15" sqref="J15"/>
    </sheetView>
  </sheetViews>
  <sheetFormatPr defaultRowHeight="14.25"/>
  <cols>
    <col min="2" max="3" width="13.125" customWidth="1"/>
    <col min="4" max="4" width="13.125" style="168" customWidth="1"/>
    <col min="5" max="6" width="13.125" customWidth="1"/>
    <col min="7" max="7" width="17.25" customWidth="1"/>
    <col min="8" max="8" width="15.125" customWidth="1"/>
    <col min="9" max="9" width="13.125" customWidth="1"/>
    <col min="10" max="10" width="12.125" customWidth="1"/>
    <col min="11" max="11" width="23.25" style="139" customWidth="1"/>
    <col min="12" max="12" width="22.5" style="139" customWidth="1"/>
    <col min="13" max="13" width="28.75" style="138" customWidth="1"/>
    <col min="14" max="14" width="13.125" style="145" customWidth="1"/>
    <col min="15" max="15" width="13.125" customWidth="1"/>
    <col min="16" max="16" width="17.75" style="6" customWidth="1"/>
    <col min="17" max="17" width="21" style="81" customWidth="1"/>
    <col min="18" max="23" width="13.125" customWidth="1"/>
  </cols>
  <sheetData>
    <row r="1" spans="1:24" s="6" customFormat="1" ht="15.75" thickBot="1">
      <c r="A1" s="86" t="s">
        <v>99</v>
      </c>
      <c r="B1" s="140" t="s">
        <v>100</v>
      </c>
      <c r="C1" s="86" t="s">
        <v>101</v>
      </c>
      <c r="D1" s="146" t="s">
        <v>102</v>
      </c>
      <c r="E1" s="140" t="s">
        <v>103</v>
      </c>
      <c r="F1" s="86" t="s">
        <v>105</v>
      </c>
      <c r="G1" s="140" t="s">
        <v>104</v>
      </c>
      <c r="H1" s="86" t="s">
        <v>162</v>
      </c>
      <c r="I1" s="171"/>
      <c r="J1" s="5" t="s">
        <v>99</v>
      </c>
      <c r="K1" s="176" t="s">
        <v>169</v>
      </c>
      <c r="L1" s="176" t="s">
        <v>170</v>
      </c>
      <c r="M1" s="182" t="s">
        <v>171</v>
      </c>
      <c r="N1" s="185" t="s">
        <v>7</v>
      </c>
      <c r="O1" s="5"/>
      <c r="P1" s="5" t="s">
        <v>13</v>
      </c>
      <c r="Q1" s="162" t="s">
        <v>12</v>
      </c>
      <c r="R1" s="5"/>
      <c r="S1" s="5"/>
      <c r="T1" s="5"/>
      <c r="U1" s="5"/>
      <c r="V1" s="5"/>
      <c r="W1" s="5"/>
      <c r="X1" s="7"/>
    </row>
    <row r="2" spans="1:24" ht="15">
      <c r="A2" s="148">
        <v>1999</v>
      </c>
      <c r="B2" s="141">
        <v>6.4</v>
      </c>
      <c r="C2" s="118">
        <f>B2*40%</f>
        <v>2.5600000000000005</v>
      </c>
      <c r="D2" s="141">
        <v>6.4</v>
      </c>
      <c r="E2" s="149">
        <f>B2*44%</f>
        <v>2.8160000000000003</v>
      </c>
      <c r="F2" s="112">
        <v>0.56000000000000005</v>
      </c>
      <c r="G2" s="142">
        <f>B2-E2</f>
        <v>3.5840000000000001</v>
      </c>
      <c r="H2" s="118">
        <v>14</v>
      </c>
      <c r="J2" s="181">
        <v>1999</v>
      </c>
      <c r="K2" s="177">
        <v>2</v>
      </c>
      <c r="L2" s="177">
        <v>0.2</v>
      </c>
      <c r="M2" s="179">
        <v>6.4</v>
      </c>
      <c r="N2" s="186">
        <v>0.34379999999999999</v>
      </c>
      <c r="O2" s="3"/>
      <c r="P2" s="74" t="s">
        <v>9</v>
      </c>
      <c r="Q2" s="189">
        <v>13.82</v>
      </c>
    </row>
    <row r="3" spans="1:24" ht="15">
      <c r="A3" s="151">
        <v>2004</v>
      </c>
      <c r="B3" s="141">
        <f>B2*130%</f>
        <v>8.32</v>
      </c>
      <c r="C3" s="118">
        <f>B3*40%</f>
        <v>3.3280000000000003</v>
      </c>
      <c r="D3" s="141">
        <f>D2*130%</f>
        <v>8.32</v>
      </c>
      <c r="E3" s="149">
        <f t="shared" ref="E3:E6" si="0">B3*44%</f>
        <v>3.6608000000000001</v>
      </c>
      <c r="F3" s="112">
        <v>0.56000000000000005</v>
      </c>
      <c r="G3" s="142">
        <f t="shared" ref="G3:G8" si="1">B3-E3</f>
        <v>4.6592000000000002</v>
      </c>
      <c r="H3" s="118">
        <v>17</v>
      </c>
      <c r="J3" s="103">
        <v>2004</v>
      </c>
      <c r="K3" s="177">
        <v>6</v>
      </c>
      <c r="L3" s="177">
        <v>0.6</v>
      </c>
      <c r="M3" s="179">
        <f>M2*130%</f>
        <v>8.32</v>
      </c>
      <c r="N3" s="186">
        <v>0.78939999999999999</v>
      </c>
      <c r="P3" s="75" t="s">
        <v>10</v>
      </c>
      <c r="Q3" s="190">
        <v>3.4</v>
      </c>
    </row>
    <row r="4" spans="1:24" ht="15.75" thickBot="1">
      <c r="A4" s="151">
        <v>2009</v>
      </c>
      <c r="B4" s="141">
        <f>B3*150%</f>
        <v>12.48</v>
      </c>
      <c r="C4" s="118">
        <f t="shared" ref="C4:C8" si="2">B4*40%</f>
        <v>4.9920000000000009</v>
      </c>
      <c r="D4" s="141">
        <f>D3*150%</f>
        <v>12.48</v>
      </c>
      <c r="E4" s="149">
        <f>B4*44%</f>
        <v>5.4912000000000001</v>
      </c>
      <c r="F4" s="112">
        <v>0.56000000000000005</v>
      </c>
      <c r="G4" s="142">
        <f t="shared" si="1"/>
        <v>6.9888000000000003</v>
      </c>
      <c r="H4" s="118">
        <v>26</v>
      </c>
      <c r="J4" s="103">
        <v>2009</v>
      </c>
      <c r="K4" s="177">
        <v>11</v>
      </c>
      <c r="L4" s="177">
        <v>1.1000000000000001</v>
      </c>
      <c r="M4" s="179">
        <f>M3*150%</f>
        <v>12.48</v>
      </c>
      <c r="N4" s="186">
        <v>0.97660000000000002</v>
      </c>
      <c r="P4" s="76" t="s">
        <v>11</v>
      </c>
      <c r="Q4" s="191">
        <v>12.63</v>
      </c>
    </row>
    <row r="5" spans="1:24" ht="15">
      <c r="A5" s="151">
        <v>2014</v>
      </c>
      <c r="B5" s="141">
        <f>B4*190%</f>
        <v>23.712</v>
      </c>
      <c r="C5" s="118">
        <f t="shared" si="2"/>
        <v>9.4847999999999999</v>
      </c>
      <c r="D5" s="141">
        <f>D4*190%</f>
        <v>23.712</v>
      </c>
      <c r="E5" s="149">
        <f t="shared" si="0"/>
        <v>10.43328</v>
      </c>
      <c r="F5" s="112">
        <v>0.56000000000000005</v>
      </c>
      <c r="G5" s="142">
        <f t="shared" si="1"/>
        <v>13.27872</v>
      </c>
      <c r="H5" s="118">
        <v>50</v>
      </c>
      <c r="J5" s="103">
        <v>2014</v>
      </c>
      <c r="K5" s="177">
        <v>19</v>
      </c>
      <c r="L5" s="177">
        <v>1.9</v>
      </c>
      <c r="M5" s="179">
        <f>M4*190%</f>
        <v>23.712</v>
      </c>
      <c r="N5" s="186">
        <v>0.88149999999999995</v>
      </c>
    </row>
    <row r="6" spans="1:24" ht="15">
      <c r="A6" s="151">
        <v>2019</v>
      </c>
      <c r="B6" s="141">
        <f>B5*600%</f>
        <v>142.27199999999999</v>
      </c>
      <c r="C6" s="118">
        <f t="shared" si="2"/>
        <v>56.908799999999999</v>
      </c>
      <c r="D6" s="141">
        <f>D5*600%</f>
        <v>142.27199999999999</v>
      </c>
      <c r="E6" s="149">
        <f t="shared" si="0"/>
        <v>62.599679999999999</v>
      </c>
      <c r="F6" s="112">
        <v>0.56000000000000005</v>
      </c>
      <c r="G6" s="142">
        <f t="shared" si="1"/>
        <v>79.672319999999985</v>
      </c>
      <c r="H6" s="118">
        <v>140</v>
      </c>
      <c r="J6" s="103">
        <v>2019</v>
      </c>
      <c r="K6" s="177">
        <v>27</v>
      </c>
      <c r="L6" s="177">
        <v>2.7</v>
      </c>
      <c r="M6" s="179">
        <f>M5*600%</f>
        <v>142.27199999999999</v>
      </c>
      <c r="N6" s="186">
        <v>0.66469999999999996</v>
      </c>
    </row>
    <row r="7" spans="1:24" ht="15">
      <c r="A7" s="151">
        <v>2024</v>
      </c>
      <c r="B7" s="141">
        <f>B6*300%</f>
        <v>426.81599999999997</v>
      </c>
      <c r="C7" s="118">
        <f t="shared" si="2"/>
        <v>170.72640000000001</v>
      </c>
      <c r="D7" s="167">
        <v>421.50869999999998</v>
      </c>
      <c r="E7" s="149">
        <f>B7*82%</f>
        <v>349.98911999999996</v>
      </c>
      <c r="F7" s="112">
        <v>0.18</v>
      </c>
      <c r="G7" s="142">
        <f t="shared" si="1"/>
        <v>76.826880000000017</v>
      </c>
      <c r="H7" s="118">
        <v>296</v>
      </c>
      <c r="J7" s="103">
        <v>2023</v>
      </c>
      <c r="K7" s="177">
        <v>40</v>
      </c>
      <c r="L7" s="177">
        <v>4</v>
      </c>
      <c r="M7" s="180">
        <v>357.4058</v>
      </c>
      <c r="N7" s="186">
        <v>0.123</v>
      </c>
    </row>
    <row r="8" spans="1:24" ht="15">
      <c r="A8" s="151">
        <v>2025</v>
      </c>
      <c r="B8" s="141">
        <f>B7*130%</f>
        <v>554.86080000000004</v>
      </c>
      <c r="C8" s="118">
        <f t="shared" si="2"/>
        <v>221.94432000000003</v>
      </c>
      <c r="D8" s="167">
        <v>498.40559999999999</v>
      </c>
      <c r="E8" s="149">
        <f>B8*82%</f>
        <v>454.98585600000001</v>
      </c>
      <c r="F8" s="112">
        <v>0.18</v>
      </c>
      <c r="G8" s="142">
        <f t="shared" si="1"/>
        <v>99.874944000000028</v>
      </c>
      <c r="H8" s="118">
        <v>350</v>
      </c>
      <c r="J8" s="103">
        <v>2024</v>
      </c>
      <c r="K8" s="177">
        <v>45.8</v>
      </c>
      <c r="L8" s="177">
        <v>4.5</v>
      </c>
      <c r="M8" s="180">
        <v>421.50869999999998</v>
      </c>
      <c r="N8" s="186">
        <v>0.1193</v>
      </c>
    </row>
    <row r="9" spans="1:24" ht="15">
      <c r="A9" s="151"/>
      <c r="B9" s="163"/>
      <c r="C9" s="163"/>
      <c r="D9" s="164"/>
      <c r="E9" s="163"/>
      <c r="F9" s="165"/>
      <c r="G9" s="96"/>
      <c r="H9" s="96"/>
      <c r="J9" s="103">
        <v>2025</v>
      </c>
      <c r="K9" s="177">
        <v>48</v>
      </c>
      <c r="L9" s="177">
        <v>4.8</v>
      </c>
      <c r="M9" s="180">
        <v>498.40559999999999</v>
      </c>
      <c r="N9" s="186">
        <v>0.106</v>
      </c>
    </row>
    <row r="10" spans="1:24" ht="15">
      <c r="A10" s="91" t="s">
        <v>14</v>
      </c>
      <c r="B10" s="169">
        <f>SUM(B2:B9)</f>
        <v>1174.8607999999999</v>
      </c>
      <c r="C10" s="91"/>
      <c r="D10" s="170">
        <f>SUM(D2:D9)</f>
        <v>1113.0982999999999</v>
      </c>
      <c r="E10" s="91"/>
      <c r="F10" s="91"/>
      <c r="G10" s="169">
        <f>SUM(G2:G9)</f>
        <v>284.88486399999999</v>
      </c>
      <c r="H10" s="166"/>
      <c r="J10" s="103"/>
      <c r="K10" s="177"/>
      <c r="L10" s="177"/>
      <c r="M10" s="183"/>
      <c r="N10" s="186"/>
    </row>
    <row r="11" spans="1:24" ht="15">
      <c r="J11" s="188" t="s">
        <v>172</v>
      </c>
      <c r="K11" s="178">
        <f>SUM(K2:K10)</f>
        <v>198.8</v>
      </c>
      <c r="L11" s="178">
        <f>SUM(L2:L10)</f>
        <v>19.8</v>
      </c>
      <c r="M11" s="184">
        <f>SUM(M2:M10)</f>
        <v>1470.5040999999999</v>
      </c>
      <c r="N11" s="187"/>
    </row>
  </sheetData>
  <pageMargins left="0.7" right="0.7" top="0.75" bottom="0.75" header="0.3" footer="0.3"/>
  <pageSetup orientation="portrait" r:id="rId1"/>
  <ignoredErrors>
    <ignoredError sqref="C3 C4:C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3D64-A6A8-496F-8295-86E330F1B6EF}">
  <dimension ref="A1:C26"/>
  <sheetViews>
    <sheetView topLeftCell="A12" zoomScale="141" workbookViewId="0">
      <selection activeCell="E34" sqref="E34"/>
    </sheetView>
  </sheetViews>
  <sheetFormatPr defaultRowHeight="14.25"/>
  <cols>
    <col min="1" max="1" width="20.625" customWidth="1"/>
    <col min="2" max="2" width="23.375" customWidth="1"/>
    <col min="3" max="24" width="16.5" customWidth="1"/>
  </cols>
  <sheetData>
    <row r="1" spans="1:2" s="6" customFormat="1">
      <c r="A1" s="8" t="s">
        <v>8</v>
      </c>
      <c r="B1" s="9" t="s">
        <v>163</v>
      </c>
    </row>
    <row r="2" spans="1:2">
      <c r="A2" s="151">
        <v>2026</v>
      </c>
      <c r="B2" s="142">
        <v>612</v>
      </c>
    </row>
    <row r="3" spans="1:2">
      <c r="A3" s="151">
        <v>2027</v>
      </c>
      <c r="B3" s="142">
        <v>617</v>
      </c>
    </row>
    <row r="4" spans="1:2">
      <c r="A4" s="151">
        <v>2028</v>
      </c>
      <c r="B4" s="142">
        <v>690</v>
      </c>
    </row>
    <row r="5" spans="1:2">
      <c r="A5" s="151">
        <v>2029</v>
      </c>
      <c r="B5" s="142">
        <v>710</v>
      </c>
    </row>
    <row r="6" spans="1:2">
      <c r="A6" s="151">
        <v>2030</v>
      </c>
      <c r="B6" s="142">
        <v>725</v>
      </c>
    </row>
    <row r="7" spans="1:2">
      <c r="A7" s="151">
        <v>2031</v>
      </c>
      <c r="B7" s="142">
        <v>770</v>
      </c>
    </row>
    <row r="8" spans="1:2">
      <c r="A8" s="151">
        <v>2032</v>
      </c>
      <c r="B8" s="142">
        <v>800</v>
      </c>
    </row>
    <row r="9" spans="1:2">
      <c r="A9" s="151">
        <v>2033</v>
      </c>
      <c r="B9" s="142">
        <v>900</v>
      </c>
    </row>
    <row r="10" spans="1:2">
      <c r="A10" s="151">
        <v>2034</v>
      </c>
      <c r="B10" s="142">
        <v>1100</v>
      </c>
    </row>
    <row r="11" spans="1:2">
      <c r="A11" s="151">
        <v>2035</v>
      </c>
      <c r="B11" s="142">
        <v>1210</v>
      </c>
    </row>
    <row r="12" spans="1:2">
      <c r="A12" s="151">
        <v>2036</v>
      </c>
      <c r="B12" s="142">
        <v>1213</v>
      </c>
    </row>
    <row r="13" spans="1:2">
      <c r="A13" s="151">
        <v>2037</v>
      </c>
      <c r="B13" s="142">
        <v>1300</v>
      </c>
    </row>
    <row r="14" spans="1:2">
      <c r="A14" s="151">
        <v>2038</v>
      </c>
      <c r="B14" s="142">
        <v>1400</v>
      </c>
    </row>
    <row r="15" spans="1:2">
      <c r="A15" s="151">
        <v>2039</v>
      </c>
      <c r="B15" s="142">
        <v>1500</v>
      </c>
    </row>
    <row r="16" spans="1:2">
      <c r="A16" s="151">
        <v>2040</v>
      </c>
      <c r="B16" s="142">
        <v>1550</v>
      </c>
    </row>
    <row r="17" spans="1:3">
      <c r="A17" s="151">
        <v>2041</v>
      </c>
      <c r="B17" s="142">
        <v>1600</v>
      </c>
    </row>
    <row r="18" spans="1:3">
      <c r="A18" s="151">
        <v>2042</v>
      </c>
      <c r="B18" s="142">
        <v>1700</v>
      </c>
    </row>
    <row r="19" spans="1:3">
      <c r="A19" s="151">
        <v>2043</v>
      </c>
      <c r="B19" s="142">
        <v>1800</v>
      </c>
    </row>
    <row r="20" spans="1:3">
      <c r="A20" s="151">
        <v>2044</v>
      </c>
      <c r="B20" s="142">
        <v>1900</v>
      </c>
    </row>
    <row r="21" spans="1:3">
      <c r="A21" s="151">
        <v>2045</v>
      </c>
      <c r="B21" s="142">
        <v>2010</v>
      </c>
    </row>
    <row r="22" spans="1:3">
      <c r="A22" s="118">
        <v>2046</v>
      </c>
      <c r="B22" s="142">
        <v>2025</v>
      </c>
    </row>
    <row r="26" spans="1:3">
      <c r="C26" t="s">
        <v>15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B1BA-C196-47A5-8BB4-BC4419312BF7}">
  <dimension ref="A1:AE36"/>
  <sheetViews>
    <sheetView zoomScale="125" workbookViewId="0">
      <selection activeCell="E49" sqref="E49"/>
    </sheetView>
  </sheetViews>
  <sheetFormatPr defaultRowHeight="14.25"/>
  <cols>
    <col min="1" max="1" width="9.125" bestFit="1" customWidth="1"/>
    <col min="2" max="2" width="9" style="160"/>
    <col min="3" max="3" width="15.75" customWidth="1"/>
    <col min="4" max="4" width="16.75" customWidth="1"/>
    <col min="5" max="5" width="16.375" customWidth="1"/>
    <col min="6" max="6" width="12.5" customWidth="1"/>
    <col min="7" max="7" width="9.125" bestFit="1" customWidth="1"/>
    <col min="8" max="8" width="13.625" bestFit="1" customWidth="1"/>
    <col min="12" max="12" width="9.125" bestFit="1" customWidth="1"/>
    <col min="13" max="13" width="19.25" customWidth="1"/>
    <col min="14" max="14" width="9.125" bestFit="1" customWidth="1"/>
    <col min="16" max="17" width="9.125" bestFit="1" customWidth="1"/>
    <col min="22" max="22" width="10" bestFit="1" customWidth="1"/>
    <col min="23" max="23" width="10.875" bestFit="1" customWidth="1"/>
    <col min="24" max="25" width="9.125" bestFit="1" customWidth="1"/>
    <col min="26" max="26" width="10.875" bestFit="1" customWidth="1"/>
    <col min="28" max="28" width="19.75" customWidth="1"/>
    <col min="29" max="29" width="10" bestFit="1" customWidth="1"/>
  </cols>
  <sheetData>
    <row r="1" spans="1:31">
      <c r="A1" s="23" t="s">
        <v>16</v>
      </c>
      <c r="B1" s="23" t="s">
        <v>17</v>
      </c>
      <c r="C1" s="24" t="s">
        <v>18</v>
      </c>
      <c r="D1" s="24" t="s">
        <v>19</v>
      </c>
      <c r="E1" s="24" t="s">
        <v>20</v>
      </c>
      <c r="F1" s="24" t="s">
        <v>21</v>
      </c>
      <c r="G1" s="24" t="s">
        <v>22</v>
      </c>
      <c r="H1" s="24" t="s">
        <v>23</v>
      </c>
      <c r="I1" s="24" t="s">
        <v>24</v>
      </c>
      <c r="J1" s="25" t="s">
        <v>25</v>
      </c>
    </row>
    <row r="2" spans="1:31" ht="38.25">
      <c r="A2" s="23"/>
      <c r="B2" s="23"/>
      <c r="C2" s="24"/>
      <c r="D2" s="24"/>
      <c r="E2" s="24" t="s">
        <v>26</v>
      </c>
      <c r="F2" s="24" t="s">
        <v>27</v>
      </c>
      <c r="G2" s="24" t="s">
        <v>28</v>
      </c>
      <c r="H2" s="24"/>
      <c r="I2" s="24"/>
      <c r="J2" s="25"/>
      <c r="K2" s="28"/>
      <c r="L2" s="29" t="s">
        <v>17</v>
      </c>
      <c r="M2" s="29" t="s">
        <v>34</v>
      </c>
      <c r="N2" s="29" t="s">
        <v>19</v>
      </c>
      <c r="O2" s="29" t="s">
        <v>35</v>
      </c>
      <c r="P2" s="29" t="s">
        <v>36</v>
      </c>
      <c r="Q2" s="29" t="s">
        <v>37</v>
      </c>
      <c r="R2" s="29" t="s">
        <v>36</v>
      </c>
      <c r="S2" s="29" t="s">
        <v>38</v>
      </c>
      <c r="T2" s="29" t="s">
        <v>39</v>
      </c>
      <c r="U2" s="29" t="s">
        <v>40</v>
      </c>
      <c r="V2" s="29" t="s">
        <v>41</v>
      </c>
      <c r="W2" s="29" t="s">
        <v>42</v>
      </c>
      <c r="X2" s="29" t="s">
        <v>43</v>
      </c>
      <c r="Y2" s="30" t="s">
        <v>44</v>
      </c>
      <c r="Z2" s="29" t="s">
        <v>45</v>
      </c>
      <c r="AA2" s="29" t="s">
        <v>46</v>
      </c>
      <c r="AB2" s="29" t="s">
        <v>47</v>
      </c>
      <c r="AC2" s="29" t="s">
        <v>48</v>
      </c>
      <c r="AD2" s="46"/>
      <c r="AE2" s="28"/>
    </row>
    <row r="3" spans="1:31">
      <c r="A3" s="23"/>
      <c r="B3" s="23"/>
      <c r="C3" s="26">
        <v>35000000</v>
      </c>
      <c r="D3" s="24" t="s">
        <v>164</v>
      </c>
      <c r="E3" s="27"/>
      <c r="F3" s="27">
        <v>0</v>
      </c>
      <c r="G3" s="27"/>
      <c r="H3" s="24"/>
      <c r="I3" s="24"/>
      <c r="J3" s="25"/>
      <c r="K3" s="28"/>
      <c r="L3" s="32"/>
      <c r="M3" s="32"/>
      <c r="N3" s="32" t="s">
        <v>49</v>
      </c>
      <c r="O3" s="32" t="s">
        <v>50</v>
      </c>
      <c r="P3" s="32" t="s">
        <v>51</v>
      </c>
      <c r="Q3" s="32" t="s">
        <v>28</v>
      </c>
      <c r="R3" s="32" t="s">
        <v>51</v>
      </c>
      <c r="S3" s="32" t="s">
        <v>52</v>
      </c>
      <c r="T3" s="32" t="s">
        <v>52</v>
      </c>
      <c r="U3" s="32"/>
      <c r="V3" s="32"/>
      <c r="W3" s="32"/>
      <c r="X3" s="32"/>
      <c r="Y3" s="33"/>
      <c r="Z3" s="32"/>
      <c r="AA3" s="32"/>
      <c r="AB3" s="32" t="s">
        <v>53</v>
      </c>
      <c r="AC3" s="32" t="s">
        <v>54</v>
      </c>
      <c r="AD3" s="48"/>
      <c r="AE3" s="28"/>
    </row>
    <row r="4" spans="1:31" ht="25.5">
      <c r="A4" s="10"/>
      <c r="B4" s="158"/>
      <c r="C4" s="63"/>
      <c r="D4" s="11"/>
      <c r="E4" s="11"/>
      <c r="F4" s="11"/>
      <c r="G4" s="11"/>
      <c r="H4" s="11"/>
      <c r="I4" s="11"/>
      <c r="J4" s="11"/>
      <c r="K4" s="28"/>
      <c r="L4" s="77"/>
      <c r="M4" s="77" t="s">
        <v>55</v>
      </c>
      <c r="N4" s="77"/>
      <c r="O4" s="77"/>
      <c r="P4" s="78"/>
      <c r="Q4" s="78"/>
      <c r="R4" s="77"/>
      <c r="S4" s="77"/>
      <c r="T4" s="77"/>
      <c r="U4" s="77"/>
      <c r="V4" s="78"/>
      <c r="W4" s="77"/>
      <c r="X4" s="78">
        <v>2</v>
      </c>
      <c r="Y4" s="79">
        <v>10</v>
      </c>
      <c r="Z4" s="78"/>
      <c r="AA4" s="77"/>
      <c r="AB4" s="77"/>
      <c r="AC4" s="77" t="s">
        <v>56</v>
      </c>
      <c r="AD4" s="46"/>
      <c r="AE4" s="28"/>
    </row>
    <row r="5" spans="1:31">
      <c r="A5" s="17">
        <v>1</v>
      </c>
      <c r="B5" s="17">
        <v>2026</v>
      </c>
      <c r="C5" s="18"/>
      <c r="D5" s="142">
        <v>612</v>
      </c>
      <c r="E5" s="18">
        <v>4000000</v>
      </c>
      <c r="F5" s="19">
        <v>0</v>
      </c>
      <c r="G5" s="18"/>
      <c r="H5" s="19"/>
      <c r="I5" s="19"/>
      <c r="J5" s="19"/>
      <c r="K5" s="28"/>
      <c r="L5" s="35"/>
      <c r="M5" s="35"/>
      <c r="N5" s="35" t="s">
        <v>57</v>
      </c>
      <c r="O5" s="35" t="s">
        <v>57</v>
      </c>
      <c r="P5" s="35"/>
      <c r="Q5" s="35"/>
      <c r="R5" s="35"/>
      <c r="S5" s="35"/>
      <c r="T5" s="35"/>
      <c r="U5" s="35"/>
      <c r="V5" s="36"/>
      <c r="W5" s="35"/>
      <c r="X5" s="36"/>
      <c r="Y5" s="37"/>
      <c r="Z5" s="36"/>
      <c r="AA5" s="35"/>
      <c r="AB5" s="35"/>
      <c r="AC5" s="35"/>
      <c r="AD5" s="49"/>
      <c r="AE5" s="28"/>
    </row>
    <row r="6" spans="1:31">
      <c r="A6" s="17">
        <v>2</v>
      </c>
      <c r="B6" s="17">
        <v>2027</v>
      </c>
      <c r="C6" s="18"/>
      <c r="D6" s="142">
        <v>617</v>
      </c>
      <c r="E6" s="18">
        <v>4000000</v>
      </c>
      <c r="F6" s="19">
        <v>0</v>
      </c>
      <c r="G6" s="18"/>
      <c r="H6" s="19"/>
      <c r="I6" s="19"/>
      <c r="J6" s="19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31"/>
      <c r="W6" s="29"/>
      <c r="X6" s="31"/>
      <c r="Y6" s="34"/>
      <c r="Z6" s="31"/>
      <c r="AA6" s="29"/>
      <c r="AB6" s="29"/>
      <c r="AC6" s="29"/>
      <c r="AD6" s="46"/>
      <c r="AE6" s="28"/>
    </row>
    <row r="7" spans="1:31">
      <c r="A7" s="17">
        <v>3</v>
      </c>
      <c r="B7" s="17">
        <v>2028</v>
      </c>
      <c r="C7" s="18"/>
      <c r="D7" s="142">
        <v>690</v>
      </c>
      <c r="E7" s="18">
        <v>4000000</v>
      </c>
      <c r="F7" s="19">
        <v>0</v>
      </c>
      <c r="G7" s="18"/>
      <c r="H7" s="19"/>
      <c r="I7" s="19"/>
      <c r="J7" s="19"/>
      <c r="K7" s="28"/>
      <c r="L7" s="50">
        <v>2022</v>
      </c>
      <c r="M7" s="50" t="s">
        <v>60</v>
      </c>
      <c r="N7" s="51"/>
      <c r="O7" s="52"/>
      <c r="P7" s="50"/>
      <c r="Q7" s="53"/>
      <c r="R7" s="50"/>
      <c r="S7" s="50"/>
      <c r="T7" s="50"/>
      <c r="U7" s="50" t="s">
        <v>58</v>
      </c>
      <c r="V7" s="54"/>
      <c r="W7" s="50"/>
      <c r="X7" s="54"/>
      <c r="Y7" s="55"/>
      <c r="Z7" s="54"/>
      <c r="AA7" s="50"/>
      <c r="AB7" s="50"/>
      <c r="AC7" s="56"/>
      <c r="AD7" s="46"/>
      <c r="AE7" s="28"/>
    </row>
    <row r="8" spans="1:31">
      <c r="A8" s="17">
        <v>4</v>
      </c>
      <c r="B8" s="17">
        <v>2029</v>
      </c>
      <c r="C8" s="18"/>
      <c r="D8" s="142">
        <v>710</v>
      </c>
      <c r="E8" s="18">
        <v>4000000</v>
      </c>
      <c r="F8" s="19">
        <v>0</v>
      </c>
      <c r="G8" s="18"/>
      <c r="H8" s="19"/>
      <c r="I8" s="19"/>
      <c r="J8" s="19"/>
      <c r="K8" s="28"/>
      <c r="L8" s="50">
        <v>2023</v>
      </c>
      <c r="M8" s="50" t="s">
        <v>63</v>
      </c>
      <c r="N8" s="54"/>
      <c r="O8" s="50"/>
      <c r="P8" s="50"/>
      <c r="Q8" s="50"/>
      <c r="R8" s="50"/>
      <c r="S8" s="50"/>
      <c r="T8" s="50"/>
      <c r="U8" s="50" t="s">
        <v>59</v>
      </c>
      <c r="V8" s="54"/>
      <c r="W8" s="50"/>
      <c r="X8" s="54"/>
      <c r="Y8" s="55"/>
      <c r="Z8" s="54"/>
      <c r="AA8" s="50"/>
      <c r="AB8" s="50"/>
      <c r="AC8" s="50"/>
      <c r="AD8" s="46"/>
      <c r="AE8" s="28"/>
    </row>
    <row r="9" spans="1:31">
      <c r="A9" s="17">
        <v>5</v>
      </c>
      <c r="B9" s="17">
        <v>2030</v>
      </c>
      <c r="C9" s="18"/>
      <c r="D9" s="142">
        <v>725</v>
      </c>
      <c r="E9" s="18">
        <v>4000000</v>
      </c>
      <c r="F9" s="19">
        <v>0</v>
      </c>
      <c r="G9" s="18"/>
      <c r="H9" s="19"/>
      <c r="I9" s="19"/>
      <c r="J9" s="19"/>
      <c r="K9" s="28"/>
      <c r="L9" s="50">
        <v>2024</v>
      </c>
      <c r="M9" s="50" t="s">
        <v>66</v>
      </c>
      <c r="N9" s="54"/>
      <c r="O9" s="50"/>
      <c r="P9" s="50"/>
      <c r="Q9" s="50"/>
      <c r="R9" s="50"/>
      <c r="S9" s="50"/>
      <c r="T9" s="50"/>
      <c r="U9" s="50" t="s">
        <v>61</v>
      </c>
      <c r="V9" s="57">
        <f>V4/Y4</f>
        <v>0</v>
      </c>
      <c r="W9" s="57">
        <f>V11*W4</f>
        <v>0</v>
      </c>
      <c r="X9" s="54">
        <f>V4*X4%</f>
        <v>0</v>
      </c>
      <c r="Y9" s="55">
        <f t="shared" ref="Y9:Y18" si="0">V9+X9</f>
        <v>0</v>
      </c>
      <c r="Z9" s="57">
        <f>Y9*W4</f>
        <v>0</v>
      </c>
      <c r="AA9" s="54"/>
      <c r="AB9" s="50" t="s">
        <v>62</v>
      </c>
      <c r="AC9" s="54"/>
      <c r="AD9" s="46"/>
      <c r="AE9" s="28"/>
    </row>
    <row r="10" spans="1:31">
      <c r="A10" s="17">
        <v>6</v>
      </c>
      <c r="B10" s="17">
        <v>2031</v>
      </c>
      <c r="C10" s="18"/>
      <c r="D10" s="142">
        <v>770</v>
      </c>
      <c r="E10" s="18">
        <v>4000000</v>
      </c>
      <c r="F10" s="19">
        <v>0</v>
      </c>
      <c r="G10" s="18"/>
      <c r="H10" s="19"/>
      <c r="I10" s="19"/>
      <c r="J10" s="19"/>
      <c r="K10" s="28"/>
      <c r="L10" s="50">
        <v>2025</v>
      </c>
      <c r="M10" s="50" t="s">
        <v>69</v>
      </c>
      <c r="N10" s="54"/>
      <c r="O10" s="50"/>
      <c r="P10" s="50"/>
      <c r="Q10" s="50"/>
      <c r="R10" s="50"/>
      <c r="S10" s="50"/>
      <c r="T10" s="50"/>
      <c r="U10" s="50" t="s">
        <v>64</v>
      </c>
      <c r="V10" s="57">
        <f>V4/Y4</f>
        <v>0</v>
      </c>
      <c r="W10" s="57">
        <f>V11*W4</f>
        <v>0</v>
      </c>
      <c r="X10" s="54">
        <f>V4*X4%</f>
        <v>0</v>
      </c>
      <c r="Y10" s="55">
        <f t="shared" si="0"/>
        <v>0</v>
      </c>
      <c r="Z10" s="57">
        <f>Y10*W4</f>
        <v>0</v>
      </c>
      <c r="AA10" s="54"/>
      <c r="AB10" s="50" t="s">
        <v>65</v>
      </c>
      <c r="AC10" s="54"/>
      <c r="AD10" s="46"/>
      <c r="AE10" s="28"/>
    </row>
    <row r="11" spans="1:31">
      <c r="A11" s="17">
        <v>7</v>
      </c>
      <c r="B11" s="17">
        <v>2032</v>
      </c>
      <c r="C11" s="18"/>
      <c r="D11" s="142">
        <v>800</v>
      </c>
      <c r="E11" s="18">
        <v>4000000</v>
      </c>
      <c r="F11" s="19">
        <v>0</v>
      </c>
      <c r="G11" s="18"/>
      <c r="H11" s="19"/>
      <c r="I11" s="19"/>
      <c r="J11" s="19"/>
      <c r="K11" s="28"/>
      <c r="L11" s="50">
        <v>2026</v>
      </c>
      <c r="M11" s="50" t="s">
        <v>72</v>
      </c>
      <c r="N11" s="54"/>
      <c r="O11" s="50"/>
      <c r="P11" s="50"/>
      <c r="Q11" s="50"/>
      <c r="R11" s="50"/>
      <c r="S11" s="50"/>
      <c r="T11" s="50"/>
      <c r="U11" s="50" t="s">
        <v>67</v>
      </c>
      <c r="V11" s="57">
        <f>V4/Y4</f>
        <v>0</v>
      </c>
      <c r="W11" s="57">
        <f>V11*W4</f>
        <v>0</v>
      </c>
      <c r="X11" s="54">
        <f>V4*X4%</f>
        <v>0</v>
      </c>
      <c r="Y11" s="55">
        <f t="shared" si="0"/>
        <v>0</v>
      </c>
      <c r="Z11" s="57">
        <f>Y11*W4</f>
        <v>0</v>
      </c>
      <c r="AA11" s="54"/>
      <c r="AB11" s="50" t="s">
        <v>68</v>
      </c>
      <c r="AC11" s="50"/>
      <c r="AD11" s="46"/>
      <c r="AE11" s="28"/>
    </row>
    <row r="12" spans="1:31">
      <c r="A12" s="17">
        <v>8</v>
      </c>
      <c r="B12" s="17">
        <v>2033</v>
      </c>
      <c r="C12" s="18"/>
      <c r="D12" s="142">
        <v>900</v>
      </c>
      <c r="E12" s="18">
        <v>4000000</v>
      </c>
      <c r="F12" s="19">
        <v>0</v>
      </c>
      <c r="G12" s="18"/>
      <c r="H12" s="19"/>
      <c r="I12" s="19"/>
      <c r="J12" s="19"/>
      <c r="K12" s="28"/>
      <c r="L12" s="50">
        <v>2027</v>
      </c>
      <c r="M12" s="50" t="s">
        <v>75</v>
      </c>
      <c r="N12" s="54"/>
      <c r="O12" s="50"/>
      <c r="P12" s="50"/>
      <c r="Q12" s="50"/>
      <c r="R12" s="50"/>
      <c r="S12" s="50"/>
      <c r="T12" s="50"/>
      <c r="U12" s="50" t="s">
        <v>70</v>
      </c>
      <c r="V12" s="57">
        <f>V4/Y4</f>
        <v>0</v>
      </c>
      <c r="W12" s="57">
        <f>V12*80</f>
        <v>0</v>
      </c>
      <c r="X12" s="54">
        <f>V4*X4%</f>
        <v>0</v>
      </c>
      <c r="Y12" s="55">
        <f t="shared" si="0"/>
        <v>0</v>
      </c>
      <c r="Z12" s="57">
        <f>Y12*W4</f>
        <v>0</v>
      </c>
      <c r="AA12" s="54"/>
      <c r="AB12" s="50" t="s">
        <v>71</v>
      </c>
      <c r="AC12" s="50"/>
      <c r="AD12" s="46"/>
      <c r="AE12" s="28"/>
    </row>
    <row r="13" spans="1:31">
      <c r="A13" s="17">
        <v>9</v>
      </c>
      <c r="B13" s="17">
        <v>2034</v>
      </c>
      <c r="C13" s="18"/>
      <c r="D13" s="142">
        <v>1100</v>
      </c>
      <c r="E13" s="18">
        <v>3000000</v>
      </c>
      <c r="F13" s="19">
        <v>0</v>
      </c>
      <c r="G13" s="18"/>
      <c r="H13" s="19"/>
      <c r="I13" s="19"/>
      <c r="J13" s="19"/>
      <c r="K13" s="28"/>
      <c r="L13" s="50">
        <v>2028</v>
      </c>
      <c r="M13" s="50" t="s">
        <v>78</v>
      </c>
      <c r="N13" s="54"/>
      <c r="O13" s="50"/>
      <c r="P13" s="50"/>
      <c r="Q13" s="50"/>
      <c r="R13" s="50"/>
      <c r="S13" s="50"/>
      <c r="T13" s="50"/>
      <c r="U13" s="50" t="s">
        <v>73</v>
      </c>
      <c r="V13" s="57">
        <f>V4/Y4</f>
        <v>0</v>
      </c>
      <c r="W13" s="57">
        <f>V13*W4</f>
        <v>0</v>
      </c>
      <c r="X13" s="54">
        <f>V4*X4%</f>
        <v>0</v>
      </c>
      <c r="Y13" s="55">
        <f t="shared" si="0"/>
        <v>0</v>
      </c>
      <c r="Z13" s="57">
        <f>Y13*W4</f>
        <v>0</v>
      </c>
      <c r="AA13" s="54"/>
      <c r="AB13" s="50" t="s">
        <v>74</v>
      </c>
      <c r="AC13" s="50"/>
      <c r="AD13" s="46"/>
      <c r="AE13" s="28"/>
    </row>
    <row r="14" spans="1:31" ht="25.5">
      <c r="A14" s="17">
        <v>10</v>
      </c>
      <c r="B14" s="17">
        <v>2035</v>
      </c>
      <c r="C14" s="18"/>
      <c r="D14" s="142">
        <v>1210</v>
      </c>
      <c r="E14" s="161" t="s">
        <v>165</v>
      </c>
      <c r="F14" s="19">
        <v>0</v>
      </c>
      <c r="G14" s="18"/>
      <c r="H14" s="19"/>
      <c r="I14" s="19"/>
      <c r="J14" s="19"/>
      <c r="K14" s="28"/>
      <c r="L14" s="50">
        <v>2029</v>
      </c>
      <c r="M14" s="50" t="s">
        <v>81</v>
      </c>
      <c r="N14" s="54"/>
      <c r="O14" s="50"/>
      <c r="P14" s="50"/>
      <c r="Q14" s="50"/>
      <c r="R14" s="50"/>
      <c r="S14" s="50"/>
      <c r="T14" s="50"/>
      <c r="U14" s="50" t="s">
        <v>76</v>
      </c>
      <c r="V14" s="57">
        <f>V4/Y4</f>
        <v>0</v>
      </c>
      <c r="W14" s="57">
        <f>V14*W4</f>
        <v>0</v>
      </c>
      <c r="X14" s="54">
        <f>V4*X4%</f>
        <v>0</v>
      </c>
      <c r="Y14" s="55">
        <f t="shared" si="0"/>
        <v>0</v>
      </c>
      <c r="Z14" s="57">
        <f>Y14*W4</f>
        <v>0</v>
      </c>
      <c r="AA14" s="58"/>
      <c r="AB14" s="50" t="s">
        <v>77</v>
      </c>
      <c r="AC14" s="50"/>
      <c r="AD14" s="46"/>
      <c r="AE14" s="28"/>
    </row>
    <row r="15" spans="1:31" ht="25.5">
      <c r="A15" s="17">
        <v>11</v>
      </c>
      <c r="B15" s="17">
        <v>2036</v>
      </c>
      <c r="C15" s="18"/>
      <c r="D15" s="142">
        <v>1213</v>
      </c>
      <c r="E15" s="161" t="s">
        <v>165</v>
      </c>
      <c r="F15" s="19">
        <v>0</v>
      </c>
      <c r="G15" s="18"/>
      <c r="H15" s="19"/>
      <c r="I15" s="19"/>
      <c r="J15" s="19"/>
      <c r="K15" s="28"/>
      <c r="L15" s="50">
        <v>2030</v>
      </c>
      <c r="M15" s="54" t="s">
        <v>84</v>
      </c>
      <c r="N15" s="54"/>
      <c r="O15" s="50"/>
      <c r="P15" s="50"/>
      <c r="Q15" s="50"/>
      <c r="R15" s="50"/>
      <c r="S15" s="50"/>
      <c r="T15" s="50"/>
      <c r="U15" s="50" t="s">
        <v>79</v>
      </c>
      <c r="V15" s="57">
        <f>V4/Y4</f>
        <v>0</v>
      </c>
      <c r="W15" s="57">
        <f>V15*W4</f>
        <v>0</v>
      </c>
      <c r="X15" s="54">
        <f>V4*X4%</f>
        <v>0</v>
      </c>
      <c r="Y15" s="55">
        <f t="shared" si="0"/>
        <v>0</v>
      </c>
      <c r="Z15" s="57">
        <f>Y15*W4</f>
        <v>0</v>
      </c>
      <c r="AA15" s="59"/>
      <c r="AB15" s="50" t="s">
        <v>80</v>
      </c>
      <c r="AC15" s="50"/>
      <c r="AD15" s="46"/>
      <c r="AE15" s="28"/>
    </row>
    <row r="16" spans="1:31" ht="25.5">
      <c r="A16" s="17">
        <v>12</v>
      </c>
      <c r="B16" s="17">
        <v>2037</v>
      </c>
      <c r="C16" s="18"/>
      <c r="D16" s="142">
        <v>1300</v>
      </c>
      <c r="E16" s="161" t="s">
        <v>165</v>
      </c>
      <c r="F16" s="19">
        <v>0</v>
      </c>
      <c r="G16" s="18"/>
      <c r="H16" s="19"/>
      <c r="I16" s="19"/>
      <c r="J16" s="19"/>
      <c r="K16" s="28"/>
      <c r="L16" s="50">
        <v>2031</v>
      </c>
      <c r="M16" s="54" t="s">
        <v>87</v>
      </c>
      <c r="N16" s="54"/>
      <c r="O16" s="50"/>
      <c r="P16" s="50"/>
      <c r="Q16" s="50"/>
      <c r="R16" s="50"/>
      <c r="S16" s="50"/>
      <c r="T16" s="50"/>
      <c r="U16" s="50" t="s">
        <v>82</v>
      </c>
      <c r="V16" s="57">
        <f>V4/Y4</f>
        <v>0</v>
      </c>
      <c r="W16" s="57">
        <f>V16*W4</f>
        <v>0</v>
      </c>
      <c r="X16" s="54">
        <f>V4*X4%</f>
        <v>0</v>
      </c>
      <c r="Y16" s="55">
        <f t="shared" si="0"/>
        <v>0</v>
      </c>
      <c r="Z16" s="57">
        <f>Y16*W4</f>
        <v>0</v>
      </c>
      <c r="AA16" s="60"/>
      <c r="AB16" s="50" t="s">
        <v>83</v>
      </c>
      <c r="AC16" s="50"/>
      <c r="AD16" s="46"/>
      <c r="AE16" s="28"/>
    </row>
    <row r="17" spans="1:31" ht="25.5">
      <c r="A17" s="17">
        <v>13</v>
      </c>
      <c r="B17" s="17">
        <v>2038</v>
      </c>
      <c r="C17" s="18"/>
      <c r="D17" s="142">
        <v>1400</v>
      </c>
      <c r="E17" s="161" t="s">
        <v>165</v>
      </c>
      <c r="F17" s="19">
        <v>0</v>
      </c>
      <c r="G17" s="18"/>
      <c r="H17" s="19"/>
      <c r="I17" s="19"/>
      <c r="J17" s="19"/>
      <c r="K17" s="28"/>
      <c r="L17" s="50">
        <v>2032</v>
      </c>
      <c r="M17" s="54" t="s">
        <v>95</v>
      </c>
      <c r="N17" s="54"/>
      <c r="O17" s="50"/>
      <c r="P17" s="54"/>
      <c r="Q17" s="54"/>
      <c r="R17" s="54"/>
      <c r="S17" s="54"/>
      <c r="T17" s="54"/>
      <c r="U17" s="54" t="s">
        <v>85</v>
      </c>
      <c r="V17" s="57">
        <f>V4/Y4</f>
        <v>0</v>
      </c>
      <c r="W17" s="57">
        <f>V17*W4</f>
        <v>0</v>
      </c>
      <c r="X17" s="54">
        <f>V4*X4%</f>
        <v>0</v>
      </c>
      <c r="Y17" s="55">
        <f t="shared" si="0"/>
        <v>0</v>
      </c>
      <c r="Z17" s="57">
        <f>Y17*W4</f>
        <v>0</v>
      </c>
      <c r="AA17" s="60"/>
      <c r="AB17" s="50" t="s">
        <v>86</v>
      </c>
      <c r="AC17" s="50"/>
      <c r="AD17" s="46"/>
      <c r="AE17" s="28"/>
    </row>
    <row r="18" spans="1:31" ht="25.5">
      <c r="A18" s="17">
        <v>14</v>
      </c>
      <c r="B18" s="17">
        <v>2039</v>
      </c>
      <c r="C18" s="18"/>
      <c r="D18" s="142">
        <v>1500</v>
      </c>
      <c r="E18" s="161" t="s">
        <v>165</v>
      </c>
      <c r="F18" s="19">
        <v>0</v>
      </c>
      <c r="G18" s="18"/>
      <c r="H18" s="19"/>
      <c r="I18" s="19"/>
      <c r="J18" s="19"/>
      <c r="K18" s="28"/>
      <c r="L18" s="50">
        <v>2033</v>
      </c>
      <c r="M18" s="54" t="s">
        <v>96</v>
      </c>
      <c r="N18" s="54"/>
      <c r="O18" s="50"/>
      <c r="P18" s="54"/>
      <c r="Q18" s="54"/>
      <c r="R18" s="54"/>
      <c r="S18" s="54"/>
      <c r="T18" s="54"/>
      <c r="U18" s="54" t="s">
        <v>88</v>
      </c>
      <c r="V18" s="57">
        <f>V4/Y4</f>
        <v>0</v>
      </c>
      <c r="W18" s="57">
        <f>V18*W4</f>
        <v>0</v>
      </c>
      <c r="X18" s="54">
        <f>V4*X4%</f>
        <v>0</v>
      </c>
      <c r="Y18" s="55">
        <f t="shared" si="0"/>
        <v>0</v>
      </c>
      <c r="Z18" s="57">
        <f>Y18*W4</f>
        <v>0</v>
      </c>
      <c r="AA18" s="60"/>
      <c r="AB18" s="50" t="s">
        <v>89</v>
      </c>
      <c r="AC18" s="50"/>
      <c r="AD18" s="46"/>
      <c r="AE18" s="28"/>
    </row>
    <row r="19" spans="1:31" ht="25.5">
      <c r="A19" s="17">
        <v>15</v>
      </c>
      <c r="B19" s="17">
        <v>2040</v>
      </c>
      <c r="C19" s="18"/>
      <c r="D19" s="142">
        <v>1550</v>
      </c>
      <c r="E19" s="161" t="s">
        <v>165</v>
      </c>
      <c r="F19" s="19">
        <v>0</v>
      </c>
      <c r="G19" s="18"/>
      <c r="H19" s="19"/>
      <c r="I19" s="19"/>
      <c r="J19" s="19"/>
      <c r="K19" s="28"/>
      <c r="L19" s="50"/>
      <c r="M19" s="54"/>
      <c r="N19" s="54"/>
      <c r="O19" s="54"/>
      <c r="P19" s="54"/>
      <c r="Q19" s="54"/>
      <c r="R19" s="54"/>
      <c r="S19" s="54"/>
      <c r="T19" s="54"/>
      <c r="U19" s="54"/>
      <c r="V19" s="57"/>
      <c r="W19" s="57"/>
      <c r="X19" s="54"/>
      <c r="Y19" s="55"/>
      <c r="Z19" s="57"/>
      <c r="AA19" s="60"/>
      <c r="AB19" s="50"/>
      <c r="AC19" s="50"/>
      <c r="AD19" s="46"/>
      <c r="AE19" s="28"/>
    </row>
    <row r="20" spans="1:31" ht="25.5">
      <c r="A20" s="17">
        <v>16</v>
      </c>
      <c r="B20" s="17">
        <v>2041</v>
      </c>
      <c r="C20" s="18"/>
      <c r="D20" s="142">
        <v>1600</v>
      </c>
      <c r="E20" s="161" t="s">
        <v>165</v>
      </c>
      <c r="F20" s="19">
        <v>0</v>
      </c>
      <c r="G20" s="18"/>
      <c r="H20" s="19"/>
      <c r="I20" s="19"/>
      <c r="J20" s="19"/>
      <c r="K20" s="28"/>
      <c r="L20" s="50"/>
      <c r="M20" s="61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5"/>
      <c r="Z20" s="54"/>
      <c r="AA20" s="54"/>
      <c r="AB20" s="54"/>
      <c r="AC20" s="54"/>
      <c r="AD20" s="46"/>
      <c r="AE20" s="28"/>
    </row>
    <row r="21" spans="1:31" ht="25.5">
      <c r="A21" s="17">
        <v>17</v>
      </c>
      <c r="B21" s="17">
        <v>2042</v>
      </c>
      <c r="C21" s="18"/>
      <c r="D21" s="142">
        <v>1700</v>
      </c>
      <c r="E21" s="161" t="s">
        <v>165</v>
      </c>
      <c r="F21" s="19">
        <v>0</v>
      </c>
      <c r="G21" s="18"/>
      <c r="H21" s="19"/>
      <c r="I21" s="19"/>
      <c r="J21" s="19"/>
      <c r="K21" s="28"/>
      <c r="L21" s="50"/>
      <c r="M21" s="61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5"/>
      <c r="Z21" s="54"/>
      <c r="AA21" s="54"/>
      <c r="AB21" s="54"/>
      <c r="AC21" s="54"/>
      <c r="AD21" s="46"/>
      <c r="AE21" s="28"/>
    </row>
    <row r="22" spans="1:31" ht="25.5">
      <c r="A22" s="17">
        <v>18</v>
      </c>
      <c r="B22" s="17">
        <v>2043</v>
      </c>
      <c r="C22" s="18"/>
      <c r="D22" s="142">
        <v>1800</v>
      </c>
      <c r="E22" s="161" t="s">
        <v>165</v>
      </c>
      <c r="F22" s="19">
        <v>0</v>
      </c>
      <c r="G22" s="18"/>
      <c r="H22" s="19"/>
      <c r="I22" s="19"/>
      <c r="J22" s="19"/>
      <c r="K22" s="28"/>
      <c r="L22" s="29" t="s">
        <v>90</v>
      </c>
      <c r="M22" s="31"/>
      <c r="N22" s="29">
        <f>SUM(N7+N8+N9+N10+N11+N12+N13+N14+N15+N16+N17+N18)</f>
        <v>0</v>
      </c>
      <c r="O22" s="29"/>
      <c r="P22" s="31"/>
      <c r="Q22" s="31"/>
      <c r="R22" s="31"/>
      <c r="S22" s="31" t="s">
        <v>90</v>
      </c>
      <c r="T22" s="31" t="s">
        <v>91</v>
      </c>
      <c r="U22" s="31"/>
      <c r="V22" s="38">
        <f>SUM(V9:V21)</f>
        <v>0</v>
      </c>
      <c r="W22" s="38">
        <f t="shared" ref="W22:Z22" si="1">SUM(W11:W21)</f>
        <v>0</v>
      </c>
      <c r="X22" s="31">
        <f t="shared" si="1"/>
        <v>0</v>
      </c>
      <c r="Y22" s="30">
        <f t="shared" si="1"/>
        <v>0</v>
      </c>
      <c r="Z22" s="38">
        <f t="shared" si="1"/>
        <v>0</v>
      </c>
      <c r="AA22" s="39"/>
      <c r="AB22" s="31"/>
      <c r="AC22" s="31"/>
      <c r="AD22" s="46"/>
      <c r="AE22" s="28"/>
    </row>
    <row r="23" spans="1:31" ht="25.5">
      <c r="A23" s="17">
        <v>19</v>
      </c>
      <c r="B23" s="17">
        <v>2044</v>
      </c>
      <c r="C23" s="18"/>
      <c r="D23" s="142">
        <v>1900</v>
      </c>
      <c r="E23" s="161" t="s">
        <v>165</v>
      </c>
      <c r="F23" s="19">
        <v>0</v>
      </c>
      <c r="G23" s="18"/>
      <c r="H23" s="19"/>
      <c r="I23" s="19"/>
      <c r="J23" s="19"/>
      <c r="K23" s="28"/>
      <c r="L23" s="45"/>
      <c r="M23" s="41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7"/>
      <c r="Z23" s="46"/>
      <c r="AA23" s="46"/>
      <c r="AB23" s="46"/>
      <c r="AC23" s="46"/>
      <c r="AD23" s="46"/>
      <c r="AE23" s="28"/>
    </row>
    <row r="24" spans="1:31" ht="25.5">
      <c r="A24" s="17">
        <v>20</v>
      </c>
      <c r="B24" s="17">
        <v>2045</v>
      </c>
      <c r="C24" s="18"/>
      <c r="D24" s="142">
        <v>2010</v>
      </c>
      <c r="E24" s="161" t="s">
        <v>165</v>
      </c>
      <c r="F24" s="19">
        <v>0</v>
      </c>
      <c r="G24" s="18"/>
      <c r="H24" s="19"/>
      <c r="I24" s="19"/>
      <c r="J24" s="19"/>
      <c r="K24" s="28"/>
      <c r="L24" s="45"/>
      <c r="M24" s="28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7"/>
      <c r="Z24" s="46"/>
      <c r="AA24" s="46"/>
      <c r="AB24" s="46"/>
      <c r="AC24" s="46"/>
      <c r="AD24" s="46"/>
      <c r="AE24" s="28"/>
    </row>
    <row r="25" spans="1:31" ht="25.5">
      <c r="A25" s="17">
        <v>21</v>
      </c>
      <c r="B25" s="17">
        <v>2046</v>
      </c>
      <c r="C25" s="19"/>
      <c r="D25" s="142">
        <v>2025</v>
      </c>
      <c r="E25" s="161" t="s">
        <v>165</v>
      </c>
      <c r="F25" s="19">
        <v>0</v>
      </c>
      <c r="G25" s="18"/>
      <c r="H25" s="19"/>
      <c r="I25" s="19"/>
      <c r="J25" s="19"/>
      <c r="K25" s="28"/>
      <c r="L25" s="40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2"/>
      <c r="Z25" s="41"/>
      <c r="AA25" s="41"/>
      <c r="AB25" s="41"/>
      <c r="AC25" s="41"/>
      <c r="AD25" s="41"/>
      <c r="AE25" s="28"/>
    </row>
    <row r="26" spans="1:31">
      <c r="A26" s="17"/>
      <c r="B26" s="17"/>
      <c r="C26" s="19"/>
      <c r="D26" s="19"/>
      <c r="E26" s="18"/>
      <c r="F26" s="19"/>
      <c r="G26" s="19"/>
      <c r="H26" s="19"/>
      <c r="I26" s="19"/>
      <c r="J26" s="19"/>
      <c r="K26" s="28"/>
      <c r="L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>
      <c r="A27" s="20" t="s">
        <v>29</v>
      </c>
      <c r="B27" s="20" t="s">
        <v>30</v>
      </c>
      <c r="C27" s="21"/>
      <c r="D27" s="21"/>
      <c r="E27" s="22"/>
      <c r="F27" s="22"/>
      <c r="G27" s="22"/>
      <c r="H27" s="21" t="s">
        <v>94</v>
      </c>
      <c r="I27" s="21" t="s">
        <v>16</v>
      </c>
      <c r="J27" s="21" t="s">
        <v>31</v>
      </c>
    </row>
    <row r="28" spans="1:31">
      <c r="A28" s="12"/>
      <c r="B28" s="12"/>
      <c r="C28" s="13"/>
      <c r="D28" s="13"/>
      <c r="E28" s="13"/>
      <c r="F28" s="13"/>
      <c r="G28" s="13"/>
      <c r="H28" s="13"/>
      <c r="I28" s="13"/>
      <c r="J28" s="13"/>
    </row>
    <row r="29" spans="1:31">
      <c r="A29" s="12"/>
      <c r="B29" s="12"/>
      <c r="C29" s="13"/>
      <c r="D29" s="13"/>
      <c r="E29" s="13"/>
      <c r="F29" s="13"/>
      <c r="G29" s="13"/>
      <c r="H29" s="13"/>
      <c r="I29" s="13"/>
      <c r="J29" s="13"/>
    </row>
    <row r="30" spans="1:31">
      <c r="A30" s="12"/>
      <c r="B30" s="12"/>
      <c r="C30" s="13"/>
      <c r="D30" s="13"/>
      <c r="E30" s="13"/>
      <c r="F30" s="13"/>
      <c r="G30" s="13"/>
      <c r="H30" s="13"/>
      <c r="I30" s="13"/>
      <c r="J30" s="13"/>
    </row>
    <row r="31" spans="1:31">
      <c r="A31" s="12"/>
      <c r="B31" s="12"/>
      <c r="C31" s="13"/>
      <c r="D31" s="13"/>
      <c r="E31" s="13"/>
      <c r="F31" s="13"/>
      <c r="G31" s="13"/>
      <c r="H31" s="13"/>
      <c r="I31" s="13"/>
      <c r="J31" s="13"/>
    </row>
    <row r="32" spans="1:31" ht="47.25">
      <c r="A32" s="14" t="s">
        <v>167</v>
      </c>
      <c r="B32" s="159" t="s">
        <v>32</v>
      </c>
      <c r="C32" s="15" t="s">
        <v>168</v>
      </c>
      <c r="D32" s="43" t="s">
        <v>33</v>
      </c>
      <c r="E32" s="16" t="s">
        <v>166</v>
      </c>
      <c r="F32" s="16" t="s">
        <v>92</v>
      </c>
      <c r="G32" s="16" t="s">
        <v>93</v>
      </c>
      <c r="H32" s="44"/>
      <c r="I32" s="16"/>
      <c r="J32" s="16"/>
    </row>
    <row r="33" spans="1:10">
      <c r="A33" s="12"/>
      <c r="B33" s="12"/>
      <c r="C33" s="13"/>
      <c r="D33" s="13"/>
      <c r="E33" s="13"/>
      <c r="F33" s="13"/>
      <c r="G33" s="13"/>
      <c r="H33" s="13"/>
      <c r="I33" s="13"/>
      <c r="J33" s="13"/>
    </row>
    <row r="34" spans="1:10">
      <c r="A34" s="12"/>
      <c r="B34" s="12"/>
      <c r="C34" s="13"/>
      <c r="D34" s="13"/>
      <c r="E34" s="13"/>
      <c r="F34" s="13"/>
      <c r="G34" s="13"/>
      <c r="H34" s="13"/>
      <c r="I34" s="13"/>
      <c r="J34" s="13"/>
    </row>
    <row r="35" spans="1:10">
      <c r="A35" s="12"/>
      <c r="B35" s="12"/>
      <c r="C35" s="13"/>
      <c r="D35" s="13"/>
      <c r="E35" s="13"/>
      <c r="F35" s="13"/>
      <c r="G35" s="13"/>
      <c r="H35" s="13"/>
      <c r="I35" s="13"/>
      <c r="J35" s="13"/>
    </row>
    <row r="36" spans="1:10">
      <c r="A36" s="12"/>
      <c r="B36" s="12"/>
      <c r="C36" s="13"/>
      <c r="D36" s="13"/>
      <c r="E36" s="13"/>
      <c r="F36" s="13"/>
      <c r="G36" s="13"/>
      <c r="H36" s="13"/>
      <c r="I36" s="13"/>
      <c r="J3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Welcome</vt:lpstr>
      <vt:lpstr>Benefactor Summary</vt:lpstr>
      <vt:lpstr>Summary</vt:lpstr>
      <vt:lpstr>Past Performance</vt:lpstr>
      <vt:lpstr>Future Report</vt:lpstr>
      <vt:lpstr>Investment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di4yt</dc:creator>
  <cp:lastModifiedBy>di4yt</cp:lastModifiedBy>
  <cp:lastPrinted>2025-09-12T11:02:28Z</cp:lastPrinted>
  <dcterms:created xsi:type="dcterms:W3CDTF">2025-09-11T11:07:08Z</dcterms:created>
  <dcterms:modified xsi:type="dcterms:W3CDTF">2025-12-12T04:03:11Z</dcterms:modified>
</cp:coreProperties>
</file>